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MF\CONTABILIDADE\ADRIANO\Programas, Ações, Projetos, Obras\2º Quadrimestre\"/>
    </mc:Choice>
  </mc:AlternateContent>
  <bookViews>
    <workbookView xWindow="0" yWindow="0" windowWidth="24000" windowHeight="9735"/>
  </bookViews>
  <sheets>
    <sheet name="Projet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G233" i="2"/>
  <c r="G230" i="2" l="1"/>
  <c r="F230" i="2"/>
  <c r="G228" i="2"/>
  <c r="G220" i="2"/>
  <c r="F218" i="2"/>
  <c r="G218" i="2"/>
  <c r="F212" i="2"/>
  <c r="G208" i="2"/>
  <c r="G192" i="2"/>
  <c r="F192" i="2"/>
  <c r="G188" i="2"/>
  <c r="G190" i="2"/>
  <c r="F188" i="2"/>
  <c r="H181" i="2"/>
  <c r="G182" i="2"/>
  <c r="F178" i="2"/>
  <c r="G170" i="2"/>
  <c r="G164" i="2"/>
  <c r="G162" i="2"/>
  <c r="F158" i="2"/>
  <c r="G158" i="2"/>
  <c r="G156" i="2"/>
  <c r="G146" i="2"/>
  <c r="G135" i="2"/>
  <c r="F135" i="2"/>
  <c r="G133" i="2"/>
  <c r="H123" i="2"/>
  <c r="G125" i="2"/>
  <c r="G126" i="2"/>
  <c r="G124" i="2"/>
  <c r="F123" i="2" l="1"/>
  <c r="G111" i="2"/>
  <c r="F104" i="2"/>
  <c r="G98" i="2"/>
  <c r="G92" i="2"/>
  <c r="G93" i="2"/>
  <c r="G90" i="2"/>
  <c r="F90" i="2"/>
  <c r="G82" i="2"/>
  <c r="G78" i="2"/>
  <c r="G73" i="2"/>
  <c r="G77" i="2"/>
  <c r="G76" i="2"/>
  <c r="G68" i="2"/>
  <c r="G75" i="2"/>
  <c r="G74" i="2"/>
  <c r="G67" i="2"/>
  <c r="F67" i="2"/>
  <c r="H67" i="2" s="1"/>
  <c r="G56" i="2"/>
  <c r="G64" i="2"/>
  <c r="G50" i="2"/>
  <c r="G38" i="2"/>
  <c r="G46" i="2"/>
  <c r="G44" i="2"/>
  <c r="G53" i="2"/>
  <c r="G43" i="2"/>
  <c r="G52" i="2"/>
  <c r="G51" i="2"/>
  <c r="G42" i="2"/>
  <c r="G49" i="2"/>
  <c r="G48" i="2"/>
  <c r="G47" i="2"/>
  <c r="G45" i="2"/>
  <c r="G41" i="2"/>
  <c r="G40" i="2"/>
  <c r="H37" i="2" l="1"/>
  <c r="F233" i="2"/>
  <c r="E233" i="2"/>
  <c r="H232" i="2"/>
  <c r="H230" i="2"/>
  <c r="H228" i="2"/>
  <c r="H226" i="2"/>
  <c r="H218" i="2"/>
  <c r="H188" i="2"/>
  <c r="H162" i="2"/>
  <c r="H160" i="2"/>
  <c r="H64" i="2"/>
  <c r="H55" i="2"/>
  <c r="H224" i="2" l="1"/>
  <c r="H92" i="2" l="1"/>
  <c r="H222" i="2" l="1"/>
  <c r="H220" i="2"/>
  <c r="H216" i="2"/>
  <c r="H214" i="2"/>
  <c r="H212" i="2"/>
  <c r="H210" i="2"/>
  <c r="H208" i="2"/>
  <c r="H204" i="2"/>
  <c r="H202" i="2"/>
  <c r="H200" i="2"/>
  <c r="H198" i="2"/>
  <c r="H196" i="2"/>
  <c r="H194" i="2"/>
  <c r="H192" i="2"/>
  <c r="H186" i="2"/>
  <c r="H178" i="2"/>
  <c r="H184" i="2"/>
  <c r="H176" i="2"/>
  <c r="H174" i="2"/>
  <c r="H172" i="2"/>
  <c r="H170" i="2"/>
  <c r="H168" i="2"/>
  <c r="H166" i="2"/>
  <c r="H164" i="2"/>
  <c r="H158" i="2"/>
  <c r="H154" i="2"/>
  <c r="H152" i="2"/>
  <c r="H150" i="2"/>
  <c r="H148" i="2"/>
  <c r="H146" i="2"/>
  <c r="H143" i="2"/>
  <c r="H141" i="2"/>
  <c r="H139" i="2"/>
  <c r="H137" i="2"/>
  <c r="H135" i="2"/>
  <c r="H132" i="2"/>
  <c r="H130" i="2"/>
  <c r="H128" i="2"/>
  <c r="H121" i="2"/>
  <c r="H119" i="2"/>
  <c r="H117" i="2"/>
  <c r="H115" i="2"/>
  <c r="H113" i="2"/>
  <c r="H110" i="2"/>
  <c r="H108" i="2"/>
  <c r="H106" i="2"/>
  <c r="H104" i="2"/>
  <c r="H102" i="2"/>
  <c r="H100" i="2"/>
  <c r="H98" i="2" l="1"/>
  <c r="H96" i="2"/>
  <c r="H90" i="2"/>
  <c r="H88" i="2"/>
  <c r="H86" i="2"/>
  <c r="H84" i="2"/>
  <c r="H82" i="2"/>
  <c r="H80" i="2"/>
  <c r="H62" i="2"/>
  <c r="H60" i="2"/>
  <c r="H58" i="2"/>
  <c r="H35" i="2"/>
  <c r="H33" i="2"/>
  <c r="H31" i="2"/>
  <c r="H29" i="2"/>
  <c r="H27" i="2"/>
  <c r="H25" i="2"/>
  <c r="H23" i="2"/>
  <c r="H21" i="2"/>
  <c r="H19" i="2"/>
  <c r="H17" i="2"/>
  <c r="H15" i="2" l="1"/>
  <c r="H13" i="2"/>
  <c r="H233" i="2" l="1"/>
</calcChain>
</file>

<file path=xl/sharedStrings.xml><?xml version="1.0" encoding="utf-8"?>
<sst xmlns="http://schemas.openxmlformats.org/spreadsheetml/2006/main" count="442" uniqueCount="375">
  <si>
    <t>PREFEITURA MUNICIPAL DE FARROUPILHA - RS</t>
  </si>
  <si>
    <t>ANEXO III - DADOS GERAIS PARA O ACOMPANHAMENTO DOS PROJETOS</t>
  </si>
  <si>
    <t>LEI Nº 12.527/2011, ART. 7º, VII, "A" E ART. 8º, §1º, V</t>
  </si>
  <si>
    <t>PREFEITURA MUNICIPAL</t>
  </si>
  <si>
    <t>Nº DO
PROJETO</t>
  </si>
  <si>
    <t>NOME DO
PROJETO</t>
  </si>
  <si>
    <t>META
FÍSICA</t>
  </si>
  <si>
    <t>META
FINANCEIRA
INICIAL</t>
  </si>
  <si>
    <t>META
FINANCEIRA
ATUALIZADA</t>
  </si>
  <si>
    <t>META
FINANCEIRA
LIQUIDADA</t>
  </si>
  <si>
    <t>% DE
CUMPRIMENTO
DA META</t>
  </si>
  <si>
    <t>1001</t>
  </si>
  <si>
    <t xml:space="preserve">     Aquisição de Prédio Próprio do Legislativo</t>
  </si>
  <si>
    <t>1004</t>
  </si>
  <si>
    <t>1 Prédio</t>
  </si>
  <si>
    <t>1005</t>
  </si>
  <si>
    <t>Retificação e Pavimentação de Vias Públicas Urbanas</t>
  </si>
  <si>
    <t>-</t>
  </si>
  <si>
    <t>1006</t>
  </si>
  <si>
    <t>1007</t>
  </si>
  <si>
    <t>1008</t>
  </si>
  <si>
    <t>Ampliação do Sistema de Iluminação Pública</t>
  </si>
  <si>
    <t>1009</t>
  </si>
  <si>
    <t>1011</t>
  </si>
  <si>
    <t>1012</t>
  </si>
  <si>
    <t xml:space="preserve">     Ampliação da Escola Nova Sardenha</t>
  </si>
  <si>
    <t>1013</t>
  </si>
  <si>
    <t>980,40m²</t>
  </si>
  <si>
    <t>1014</t>
  </si>
  <si>
    <t>564m²</t>
  </si>
  <si>
    <t>1016</t>
  </si>
  <si>
    <t>1018</t>
  </si>
  <si>
    <t>1021</t>
  </si>
  <si>
    <t>1 Máquina</t>
  </si>
  <si>
    <t>1022</t>
  </si>
  <si>
    <t>1024</t>
  </si>
  <si>
    <t>1025</t>
  </si>
  <si>
    <t>1026</t>
  </si>
  <si>
    <t xml:space="preserve">     Construção de Infraestrutura em Condomínios</t>
  </si>
  <si>
    <t>1 Condomínio</t>
  </si>
  <si>
    <t>1027</t>
  </si>
  <si>
    <t xml:space="preserve">     Construção de Infraestrutura em Loteamentos</t>
  </si>
  <si>
    <t>1 Loteamento</t>
  </si>
  <si>
    <t>1028</t>
  </si>
  <si>
    <t xml:space="preserve">     Construção de Área de Lazer</t>
  </si>
  <si>
    <t>1031</t>
  </si>
  <si>
    <t>1040</t>
  </si>
  <si>
    <t>1041</t>
  </si>
  <si>
    <t>1043</t>
  </si>
  <si>
    <t>1044</t>
  </si>
  <si>
    <t>1045</t>
  </si>
  <si>
    <t>1046</t>
  </si>
  <si>
    <t xml:space="preserve">     Aquisição de Sistema de Mapeamento Georreferencial</t>
  </si>
  <si>
    <t>1 Sistema</t>
  </si>
  <si>
    <t>1047</t>
  </si>
  <si>
    <t>TOTAL DOS PROJETOS</t>
  </si>
  <si>
    <t>Aquisição de Bens Móveis p/Câmara de Vereadores</t>
  </si>
  <si>
    <t>1002</t>
  </si>
  <si>
    <t>Aquisição e/ou Indenização de Imóveis Legislativo</t>
  </si>
  <si>
    <t>1003</t>
  </si>
  <si>
    <t>Aquisição de Bens Móveis p/Gabinete do Prefeito</t>
  </si>
  <si>
    <t>5 Bens Móveis</t>
  </si>
  <si>
    <t>Aquisição de Bens Móveis p/Procuradoria Geral do Município</t>
  </si>
  <si>
    <t>Aquisição de Bens Móveis p/Secr. de Gestão e Desenv. Humano</t>
  </si>
  <si>
    <t>Aquisição de Bens Móveis p/Guarda e Sist. de Monitoramento</t>
  </si>
  <si>
    <t>1 Bens Móvel</t>
  </si>
  <si>
    <t>Aquisição de Bens Móveis p/Defesa Civil</t>
  </si>
  <si>
    <t>Aquisição de Bens Móveis p/Secretaria de Finanças</t>
  </si>
  <si>
    <t>2 Bens Móveis</t>
  </si>
  <si>
    <t>Aquisição de Bens Móveis p/Corpo Bombeiros de Farroupilha</t>
  </si>
  <si>
    <t>1010</t>
  </si>
  <si>
    <t>Construção, Ampliação e/ou Melhoria de Prédios Públicos</t>
  </si>
  <si>
    <t xml:space="preserve">     Construção do Parque de Máquinas</t>
  </si>
  <si>
    <t>1 Obra</t>
  </si>
  <si>
    <t>Aquisição de Bens Móveis p/a Secr. Des. Urbano, Infr. e Trânsito</t>
  </si>
  <si>
    <t>3 Bens Móveis</t>
  </si>
  <si>
    <t>Aquisição de Bens Móveis para a JARI</t>
  </si>
  <si>
    <t xml:space="preserve">     Pavimentação Rua Caetano Feltrin</t>
  </si>
  <si>
    <t>Construção, Ampl. e/ou Melhoria em Parques, Praças e Jardins</t>
  </si>
  <si>
    <t xml:space="preserve">     Construção da Praça de Monte Bérico</t>
  </si>
  <si>
    <t>1015</t>
  </si>
  <si>
    <t>Aquisição de Bens Móveis p/Conserv. e Manut. do Sistema Viário</t>
  </si>
  <si>
    <t xml:space="preserve">Ampliação de Cemitérios Públicos                  </t>
  </si>
  <si>
    <t>70 Gavetas</t>
  </si>
  <si>
    <t xml:space="preserve">     Construção de Gavetas</t>
  </si>
  <si>
    <t xml:space="preserve">     Extensão de 500m de rede em Diversas Ruas da Cidade</t>
  </si>
  <si>
    <t>80 Pontos de Luz</t>
  </si>
  <si>
    <t>1017</t>
  </si>
  <si>
    <t>Ampliação e Tratamento do Sistema de Esgoto Pluvial e Cloacal</t>
  </si>
  <si>
    <t>1019</t>
  </si>
  <si>
    <t>Constr.e/ou Pavimentação de Estradas e Pontes</t>
  </si>
  <si>
    <t>5.619,25m²</t>
  </si>
  <si>
    <t>1020</t>
  </si>
  <si>
    <t>Aquisição de Veículos, Máquinas e Equip. Rodoviários</t>
  </si>
  <si>
    <t>Aquisição de Bens Móveis p/Secretaria de Educação</t>
  </si>
  <si>
    <t xml:space="preserve">     Diversos Bens Móveis p/Câmara de Vereadores</t>
  </si>
  <si>
    <t xml:space="preserve">     Diversos Bens Móveis p/Gabinete do Prefeito</t>
  </si>
  <si>
    <t xml:space="preserve">     Diversos Bens Móveis p/Procuradoria Geral do Município</t>
  </si>
  <si>
    <t xml:space="preserve">     Diversos Bens Móveis p/Secr. de Gestão e Desenv. Humano</t>
  </si>
  <si>
    <t xml:space="preserve">     Diversos Bens Móveis p/Guarda e Sist. de Monitoramento</t>
  </si>
  <si>
    <t xml:space="preserve">     Diversos Bens Móveis p/Defesa Civil</t>
  </si>
  <si>
    <t xml:space="preserve">     Diversos Bens Móveis p/Secretaria de Finanças</t>
  </si>
  <si>
    <t xml:space="preserve">     Diversos Bens Móveis p/Corpo Bombeiros de Farroupilha</t>
  </si>
  <si>
    <t xml:space="preserve">     Diversos Bens Móveis p/a Secr. Des. Urbano, Infr. e Trânsito</t>
  </si>
  <si>
    <t xml:space="preserve">     Diversos Bens Móveis para a JARI</t>
  </si>
  <si>
    <t xml:space="preserve">     Diversos Bens Móveis p/Conserv. e Manut. do Sistema Viário</t>
  </si>
  <si>
    <t xml:space="preserve">     Diversos Veículos, Máquinas e Equip. Rodoviários</t>
  </si>
  <si>
    <t xml:space="preserve">     Diversos Bens Móveis p/Secretaria de Educação</t>
  </si>
  <si>
    <t>Aquisição de Bens Móveis p/Biblioteca Pública Municipal</t>
  </si>
  <si>
    <t xml:space="preserve">     Diversos Bens Móveis p/Biblioteca Pública Municipal</t>
  </si>
  <si>
    <t>1023</t>
  </si>
  <si>
    <t>Aquisição de Bens Móveis p/Conselho Municipal de Educação</t>
  </si>
  <si>
    <t xml:space="preserve">     Diversos Bens Móveis p/Conselho Municipal de Educação</t>
  </si>
  <si>
    <t>Aquisição de Bens Móveis p/Núcleo Apoio Tecn. de Farroupilha</t>
  </si>
  <si>
    <t xml:space="preserve">     Diversos Bens Móveis p/Núcleo Apoio Tecn. de Farroupilha</t>
  </si>
  <si>
    <t>Constr, Ampl. e/ou Melhoria de Escolas Mun. Ens. Fundamental</t>
  </si>
  <si>
    <t>1.280m²</t>
  </si>
  <si>
    <t>Constr, Ampl. e/ou Melh. Quadras Esport. Esc. Ens. Fundamental</t>
  </si>
  <si>
    <t xml:space="preserve">     Construção da Quadra da Escola Nossa Senhora Medianeira</t>
  </si>
  <si>
    <t>Aquisição de Bens Móveis para Prédios de Ensino Fundamental</t>
  </si>
  <si>
    <t xml:space="preserve">     Diversos Bens Móveis para Prédios de Ensino Fundamental</t>
  </si>
  <si>
    <t>Aquisição de Bens Móveis para o Ensino Fundamental</t>
  </si>
  <si>
    <t xml:space="preserve">     Diversos Bens Móveis para o Ensino Fundamental</t>
  </si>
  <si>
    <t>1029</t>
  </si>
  <si>
    <t>Constr, Ampl. e/ou Melhoria Prédios para Contraturno Escolar</t>
  </si>
  <si>
    <t xml:space="preserve">     Reforma da Casa da Criança Odete Zanfeliz</t>
  </si>
  <si>
    <t>1030</t>
  </si>
  <si>
    <t>Aquisição de Bens Móveis para Contraturno Escolar</t>
  </si>
  <si>
    <t xml:space="preserve">     Diversos Bens Móveis para Contraturno Escolar</t>
  </si>
  <si>
    <t>Constr, Ampl. e/ou Melh. Escolas Educ. Infantil - Pré-Escola</t>
  </si>
  <si>
    <t xml:space="preserve">     Constr, Ampl. e/ou Melh. Escolas Educ. Infantil - Pré-Escola</t>
  </si>
  <si>
    <t>1032</t>
  </si>
  <si>
    <t>Aquisição de Bens Móveis para Educação Infantil - Pré-Escola</t>
  </si>
  <si>
    <t xml:space="preserve">     Diversos Bens Móveis para Educação Infantil - Pré-Escola</t>
  </si>
  <si>
    <t>1033</t>
  </si>
  <si>
    <t>Aquisição de Bens Móveis p/Prédios Educ. Infantil - Pré-Escola</t>
  </si>
  <si>
    <t xml:space="preserve">     Diversos Bens Móveis p/Prédios Educ. Infantil - Pré-Escola</t>
  </si>
  <si>
    <t>1034</t>
  </si>
  <si>
    <t>Constr, Ampl. e/ou Melh. Escolas de Educação Infantil - Creche</t>
  </si>
  <si>
    <t xml:space="preserve">     Conclusão da Escola Educação Infantil Bairro Belvedere</t>
  </si>
  <si>
    <t xml:space="preserve">     Conclusão da Escola Educação Infantil Bairro Monte Pasqual</t>
  </si>
  <si>
    <t>1035</t>
  </si>
  <si>
    <t>Aquisição de Bens Móveis p/Ativ. Educação Infantil - Creche</t>
  </si>
  <si>
    <t xml:space="preserve">     Diversos Bens Móveis p/Ativ. Educação Infantil - Creche</t>
  </si>
  <si>
    <t>1036</t>
  </si>
  <si>
    <t>Aquisição de Bens Móveis p/Prédios de Educ. Infantil - Creche</t>
  </si>
  <si>
    <t xml:space="preserve">     Diversos Bens Móveis p/Prédios de Educ. Infantil - Creche</t>
  </si>
  <si>
    <t>1037</t>
  </si>
  <si>
    <t>Aquisição de Bens Móveis p/Assist. à Criança e ao Adolescente</t>
  </si>
  <si>
    <t xml:space="preserve">     Diversos Bens Móveis p/Assist. à Criança e ao Adolescente</t>
  </si>
  <si>
    <t>1038</t>
  </si>
  <si>
    <t>Aquisição de Bens Móveis p/Conselho Tutelar</t>
  </si>
  <si>
    <t xml:space="preserve">     Diversos Bens Móveis p/Conselho Tutelar</t>
  </si>
  <si>
    <t>1039</t>
  </si>
  <si>
    <t>Aquisição de Bens Móveis p/Secretaria de Turismo e Cultura</t>
  </si>
  <si>
    <t xml:space="preserve">     Diversos Bens Móveis p/Secretaria de Turismo e Cultura</t>
  </si>
  <si>
    <t>Implantação e Melhoria de Infraestrutura Turística</t>
  </si>
  <si>
    <t>Restauração e Preservação de Patrimônio Histórico e Cultural</t>
  </si>
  <si>
    <t xml:space="preserve">     Restauração do Museu Casal Moschetti</t>
  </si>
  <si>
    <t>1042</t>
  </si>
  <si>
    <t>Aquisição de Bens Móveis p/Casa da Cultura</t>
  </si>
  <si>
    <t xml:space="preserve">     Diversos Bens Móveis p/Casa da Cultura</t>
  </si>
  <si>
    <t>Constr, Ampl. e/ou Melhoria de Museus Públicos Municipais</t>
  </si>
  <si>
    <t xml:space="preserve">     Restauração do Museu Casa de Pedra</t>
  </si>
  <si>
    <t xml:space="preserve">     Construção do Museu da Imigração Italiana</t>
  </si>
  <si>
    <t>Aquisição de Bens Móveis p/Museus Públicos Municipais</t>
  </si>
  <si>
    <t xml:space="preserve">     Diversos Bens Móveis p/Museus Públicos Municipais</t>
  </si>
  <si>
    <t>Aquisição de Bens Móveis p/Fomento ao Turismo</t>
  </si>
  <si>
    <t xml:space="preserve">     Diversos Bens Móveis p/Fomento ao Turismo</t>
  </si>
  <si>
    <t>6 Bens Móveis</t>
  </si>
  <si>
    <t>Aquisição de Bens Móveis p/Secr. Desenv. Social e Habitação</t>
  </si>
  <si>
    <t xml:space="preserve">     Diversos Bens Móveis p/Secr. Desenv. Social e Habitação</t>
  </si>
  <si>
    <t>Aquisição de Bens Móveis p/Serviços Socioassistenciais</t>
  </si>
  <si>
    <t xml:space="preserve">     Diversos Bens Móveis p/Serviços Socioassistenciais</t>
  </si>
  <si>
    <t>1048</t>
  </si>
  <si>
    <t>Constr, Ampl. e/ou Melhoria de Prédios de Assistência Social</t>
  </si>
  <si>
    <t xml:space="preserve">     Reforma do Centro de Convivência de Idosos São José</t>
  </si>
  <si>
    <t xml:space="preserve">     Construção de Centro de Referência de Assistência Social</t>
  </si>
  <si>
    <t>1049</t>
  </si>
  <si>
    <t>Aquisição de Bens Móveis p/Serviços de Proteção Social Básica</t>
  </si>
  <si>
    <t xml:space="preserve">     Diversos Bens Móveis p/Serviços de Proteção Social Básica</t>
  </si>
  <si>
    <t>1050</t>
  </si>
  <si>
    <t>Aquisição de Bens Móveis p/Serv. do IGD do Progr. Bolsa Família</t>
  </si>
  <si>
    <t xml:space="preserve">     Diversos Bens Móveis p/Serv. do IGD do Progr. Bolsa Família</t>
  </si>
  <si>
    <t>20 Bens Móveis</t>
  </si>
  <si>
    <t>1051</t>
  </si>
  <si>
    <t>Aquisição de Bens Móveis para os CRAS</t>
  </si>
  <si>
    <t xml:space="preserve">     Diversos Bens Móveis para os CRAS</t>
  </si>
  <si>
    <t>1052</t>
  </si>
  <si>
    <t>Aquisição de Bens Móveis p/Serv.doIGD SUAS</t>
  </si>
  <si>
    <t xml:space="preserve">     Diversos Bens Móveis p/Serv.doIGD SUAS</t>
  </si>
  <si>
    <t>1053</t>
  </si>
  <si>
    <t xml:space="preserve">     Diversos Bens Móveis p/Albergue Municipal</t>
  </si>
  <si>
    <t>Aquisição de Bens Móveis p/Albergue Municipal</t>
  </si>
  <si>
    <t>1054</t>
  </si>
  <si>
    <t>Aquisição de Bens Móveis p/Serv. Prot. Soc. Esp. Méd. Compl.</t>
  </si>
  <si>
    <t xml:space="preserve">     Diversos Bens Móveis p/Serv. Prot. Soc. Esp. Méd. Compl.</t>
  </si>
  <si>
    <t>1055</t>
  </si>
  <si>
    <t>Aquisição de Bens Móveis p/Fundo Municipal do Idoso - FMI</t>
  </si>
  <si>
    <t xml:space="preserve">     Diversos Bens Móveis p/Fundo Municipal do Idoso - FMI</t>
  </si>
  <si>
    <t>1056</t>
  </si>
  <si>
    <t>Regularização de Loteamentos do Município</t>
  </si>
  <si>
    <t xml:space="preserve">     Contratação de Serviços de Registro de Imóveis</t>
  </si>
  <si>
    <t>1057</t>
  </si>
  <si>
    <t xml:space="preserve">Urbaniz, Regulariz. e Integração de Assentamentos Precários </t>
  </si>
  <si>
    <t>1058</t>
  </si>
  <si>
    <t xml:space="preserve">Aquisição de Bens Móveis p/Banco de Materiais </t>
  </si>
  <si>
    <t xml:space="preserve">     Diversos Bens Móveis p/Banco de Materiais </t>
  </si>
  <si>
    <t>4 Bens Móveis</t>
  </si>
  <si>
    <t>1059</t>
  </si>
  <si>
    <t>Infraestrutura Condomínios Residenciais Minha Casa Minha Vida</t>
  </si>
  <si>
    <t>1060</t>
  </si>
  <si>
    <t>Implantação e Infraestrutura de Loteamentos Populares</t>
  </si>
  <si>
    <t>1061</t>
  </si>
  <si>
    <t>Construção, Ampliação e/ou Melhoria Unidades Habitacionais</t>
  </si>
  <si>
    <t>1062</t>
  </si>
  <si>
    <t>Implantação de Área de Lazer para Condomínios</t>
  </si>
  <si>
    <t>1063</t>
  </si>
  <si>
    <t>Constr, Ampl. e/ou Melhoria de Infraestrutura p/Saneamento</t>
  </si>
  <si>
    <t>1064</t>
  </si>
  <si>
    <t>Aquisição de Bens Móveis p/Secretaria de Desenv. Rural</t>
  </si>
  <si>
    <t xml:space="preserve">     Diversos Bens Móveis p/Secretaria de Desenv. Rural</t>
  </si>
  <si>
    <t>Aquisição de Máquinas e Equipamentos Agrícolas e Rodoviários</t>
  </si>
  <si>
    <t>1065</t>
  </si>
  <si>
    <t>1066</t>
  </si>
  <si>
    <t>Construção e/ou Pavimentação de Estradas Rurais e Pontes</t>
  </si>
  <si>
    <t>7.090m²</t>
  </si>
  <si>
    <t>1067</t>
  </si>
  <si>
    <t>Aquisição de Bens Móveis p/Secretaria de Saúde</t>
  </si>
  <si>
    <t xml:space="preserve">     Diversos Bens Móveis p/Secretaria de Saúde</t>
  </si>
  <si>
    <t>1068</t>
  </si>
  <si>
    <t>Constr, Ampl. e/ou Melhoria de Unidades Básicas de Saúde</t>
  </si>
  <si>
    <t>1069</t>
  </si>
  <si>
    <t>Aquisição de Bens Móveis p/Ações Básicas em Saúde</t>
  </si>
  <si>
    <t xml:space="preserve">     Diversos Bens Móveis p/Ações Básicas em Saúde</t>
  </si>
  <si>
    <t>1071</t>
  </si>
  <si>
    <t>Aquisição de Bens Móveis p/Atenção Especializada em Saúde</t>
  </si>
  <si>
    <t xml:space="preserve">     Diversos Bens Móveis p/Atenção Especializada em Saúde</t>
  </si>
  <si>
    <t>1072</t>
  </si>
  <si>
    <t>Aquisição de Bens Móveis p/Dep. de Controle e Proteção Animal</t>
  </si>
  <si>
    <t xml:space="preserve">     Diversos Bens Móveis p/Dep. de Controle e Proteção Animal</t>
  </si>
  <si>
    <t>10 Bens Móveis</t>
  </si>
  <si>
    <t>1073</t>
  </si>
  <si>
    <t>Aquisição de Bens Móveis p/Vigilância em Saúde Sanitária</t>
  </si>
  <si>
    <t xml:space="preserve">     Aquisição de Veículo 5 Lugares</t>
  </si>
  <si>
    <t>1074</t>
  </si>
  <si>
    <t>Aquisição de Bens Móveis p/Vigil. em Saúde Epidemiológica</t>
  </si>
  <si>
    <t xml:space="preserve">     Diversos Bens Móveis p/Vigil. em Saúde Epidemiológica</t>
  </si>
  <si>
    <t>1075</t>
  </si>
  <si>
    <t>Aquisição de Bens Móveis p/Secr. de Desenv. Econ, Trab. e Renda</t>
  </si>
  <si>
    <t xml:space="preserve">     Diversos Bens Móveis p/Secr. de Desenv. Econ, Trab. e Renda</t>
  </si>
  <si>
    <t>1076</t>
  </si>
  <si>
    <t>Aquisição de Imóveis e/ou Impl. Infraestrutura para Empresas</t>
  </si>
  <si>
    <t xml:space="preserve">     Implantação de Infraestrutura para Empresas</t>
  </si>
  <si>
    <t>1077</t>
  </si>
  <si>
    <t>Aquisição de Bens Móveis p/Secretaria de Meio Ambiente</t>
  </si>
  <si>
    <t xml:space="preserve">     Diversos Bens Móveis p/Secretaria de Meio Ambiente</t>
  </si>
  <si>
    <t>1078</t>
  </si>
  <si>
    <t>Implantação do Jardim Botânico Municipal</t>
  </si>
  <si>
    <t xml:space="preserve">     Implantação do Jardim Botânico Municipal</t>
  </si>
  <si>
    <t>1079</t>
  </si>
  <si>
    <t>Aquisição de Bens Móveis p/Ações de Preservação Ambiental</t>
  </si>
  <si>
    <t xml:space="preserve">     Diversos Bens Móveis p/Ações de Preservação Ambiental</t>
  </si>
  <si>
    <t>1080</t>
  </si>
  <si>
    <t>Aquisição de Bens Móveis p/Secretaria de Planejamento</t>
  </si>
  <si>
    <t xml:space="preserve">     Diversos Bens Móveis p/Secretaria de Planejamento</t>
  </si>
  <si>
    <t>1081</t>
  </si>
  <si>
    <t>Progr. Moderniz. Administração Tributária do Executivo Mun.</t>
  </si>
  <si>
    <t>1082</t>
  </si>
  <si>
    <t>Aquisição de Bens Móveis p/Secr. de Esporte, Lazer e Juventude</t>
  </si>
  <si>
    <t xml:space="preserve">     Diversos Bens Móveis p/Secr. de Esporte, Lazer e Juventude</t>
  </si>
  <si>
    <t>1083</t>
  </si>
  <si>
    <t>Aquisição de Bens Móveis p/Dep. de Esporte, Lazer e Recreação</t>
  </si>
  <si>
    <t xml:space="preserve">     Diversos Bens Móveis p/Dep. de Esporte, Lazer e Recreação</t>
  </si>
  <si>
    <t>Constr, Ampl. e/ou Melhoria Espaços Esportivos e Recreativos</t>
  </si>
  <si>
    <t>1084</t>
  </si>
  <si>
    <t>1085</t>
  </si>
  <si>
    <t>Aquisição de Bens Móveis p/Serviços de Limpeza Pública</t>
  </si>
  <si>
    <t xml:space="preserve">     Diversos Bens Móveis p/Serviços de Limpeza Pública</t>
  </si>
  <si>
    <t>1086</t>
  </si>
  <si>
    <t>Restituição de Convênio de Constr. da Unid. Pronto Atend-UPA</t>
  </si>
  <si>
    <t xml:space="preserve">     Compra do Prédio da UPA</t>
  </si>
  <si>
    <t>1 Restituição</t>
  </si>
  <si>
    <t xml:space="preserve">     Pavimentação Rua Gerônimo Franceschini</t>
  </si>
  <si>
    <t>2.732,39m²</t>
  </si>
  <si>
    <t xml:space="preserve">     Implantação de Parque de Eventos no Largo Carlos Fetter</t>
  </si>
  <si>
    <t>224,69m²</t>
  </si>
  <si>
    <t>87,75m²</t>
  </si>
  <si>
    <t xml:space="preserve">     Instalação de Reservatório de Água na Vila Esperança</t>
  </si>
  <si>
    <t xml:space="preserve">     Construção de Rede de Esgoto em trechos 1º e 4º Distrito</t>
  </si>
  <si>
    <t xml:space="preserve">     Construção da Quadra na Rua Hugo Mantovani, Vila Jansen</t>
  </si>
  <si>
    <t xml:space="preserve">     Pavimentação Rua Domenico Fin</t>
  </si>
  <si>
    <t>2.500,00m²</t>
  </si>
  <si>
    <t>2.890,00m²</t>
  </si>
  <si>
    <t>1.350,00m²</t>
  </si>
  <si>
    <t xml:space="preserve">     Construção da Praça na Rua Remigio Tartarotti</t>
  </si>
  <si>
    <t>1.898,00m²</t>
  </si>
  <si>
    <t xml:space="preserve">     Ampliação do Sistema de Esgoto Pluvial na Rua Garibaldi</t>
  </si>
  <si>
    <t xml:space="preserve">     Construção Cortina de Contenção Galeria Pluvial Medianeira</t>
  </si>
  <si>
    <t xml:space="preserve">     Pavimentação de Estrada na Linha São Luiz</t>
  </si>
  <si>
    <t>2.400,00m²</t>
  </si>
  <si>
    <t xml:space="preserve">     Pavimentação de Estrada na Linha São João</t>
  </si>
  <si>
    <t xml:space="preserve">     Pavimentação de Estrada Rio Burati</t>
  </si>
  <si>
    <t xml:space="preserve">     Pavimentação de Estrada na Linha Caravaggieto</t>
  </si>
  <si>
    <t>6.618,00m²</t>
  </si>
  <si>
    <t xml:space="preserve">     Pavimentação de Estrada na Linha Rio Branco</t>
  </si>
  <si>
    <t>3.000,00m²</t>
  </si>
  <si>
    <t xml:space="preserve">     Pavimentação de Estrada na Linha 47</t>
  </si>
  <si>
    <t>6.055,00m²</t>
  </si>
  <si>
    <t xml:space="preserve">     Pavimentação das Ruas Germano Osmarini e Itacir R. Zatti</t>
  </si>
  <si>
    <t xml:space="preserve">     Fechamento da Quadra da Escola Senador Teotônio Vilela</t>
  </si>
  <si>
    <t xml:space="preserve">     Fechamento da Quadra da Escola Angelo Chiele</t>
  </si>
  <si>
    <t xml:space="preserve">     Placas de Sinalização Turística</t>
  </si>
  <si>
    <t>150,76m²</t>
  </si>
  <si>
    <t>8 Bens Móveis</t>
  </si>
  <si>
    <t xml:space="preserve">     Construção de Casas na Aldeia Indígena de Santa Rita</t>
  </si>
  <si>
    <t>2 Casas</t>
  </si>
  <si>
    <t xml:space="preserve">     Conforme demanda</t>
  </si>
  <si>
    <t xml:space="preserve">     Aquisição de Caminhão Caçamba</t>
  </si>
  <si>
    <t xml:space="preserve">     Demais Máquinas e Equipamentos Agrícolas e Rodoviários</t>
  </si>
  <si>
    <t xml:space="preserve">     Construção e Ampliação de UBSs</t>
  </si>
  <si>
    <t xml:space="preserve">     Aquisição de 2 Ambulâncias</t>
  </si>
  <si>
    <t>2 Ambulâncias</t>
  </si>
  <si>
    <t xml:space="preserve">     Aquisição de 2 Veículos</t>
  </si>
  <si>
    <t>2 Veículos</t>
  </si>
  <si>
    <t>21 Bens Móveis</t>
  </si>
  <si>
    <t>350m²</t>
  </si>
  <si>
    <t>1 Bem Móvel</t>
  </si>
  <si>
    <t>1088</t>
  </si>
  <si>
    <t>Aquisição de Bens Móveis p/Ações Prot. e Defesa Consumidor</t>
  </si>
  <si>
    <t xml:space="preserve">     Diversos Bens Móveis p/Ações Prot. e Defesa Consumidor</t>
  </si>
  <si>
    <t>1089</t>
  </si>
  <si>
    <t>Aquisição de Bens Móveis p/Dep. Contab, Empenho e Tesouraria</t>
  </si>
  <si>
    <t xml:space="preserve">     Diversos Bens Móveis p/Dep. Contab, Empenho e Tesouraria</t>
  </si>
  <si>
    <t>1090</t>
  </si>
  <si>
    <t>Aquisição de Bens Móveis p/Dep. Tributação e Fiscalização</t>
  </si>
  <si>
    <t>1091</t>
  </si>
  <si>
    <t>Constr, Ampl. e/ou Melhoria Prédios do Corpo de Bombeiros</t>
  </si>
  <si>
    <t>80m²</t>
  </si>
  <si>
    <t xml:space="preserve">     Ampliação/Melhoria do Prédio do Corpo de Bombeiros</t>
  </si>
  <si>
    <t>1092</t>
  </si>
  <si>
    <t>Constr, Ampl. e/ou Melhoria Prédios da Admin. da Educação</t>
  </si>
  <si>
    <t xml:space="preserve">     Ampliação/Melhoria do Prédio da Secretaria da Educação</t>
  </si>
  <si>
    <t xml:space="preserve">     Diversos Bens Móveis p/Dep. Tributação e Fiscalização</t>
  </si>
  <si>
    <t xml:space="preserve">     Drenagem e Pavimentação da FR10 Salto Ventoso</t>
  </si>
  <si>
    <t xml:space="preserve">     Recapeamento Asfáltico de Trecho Da Avenida Armando Antonello</t>
  </si>
  <si>
    <t xml:space="preserve">     Capeamento da Rua Primo Postali</t>
  </si>
  <si>
    <t>2.803,00m²</t>
  </si>
  <si>
    <t xml:space="preserve">     Capeamento da Rua Júlio De Castilhos</t>
  </si>
  <si>
    <t xml:space="preserve">     Capeamento da Rua Raineri Petrini</t>
  </si>
  <si>
    <t>19.314,98m²</t>
  </si>
  <si>
    <t xml:space="preserve">     Pavimentação das Ruas Deolindo Varisco, Carlos Alberto Rovati, Garibaldi e Luciano Cortois.</t>
  </si>
  <si>
    <t xml:space="preserve">     Pavimentação da Rua Humberto Alencar Castelo Branco.</t>
  </si>
  <si>
    <t>9.001,00m²</t>
  </si>
  <si>
    <t xml:space="preserve">     Pavimentação das Ruas Izidoro Farinon e Itacir Raimundo Zatti</t>
  </si>
  <si>
    <t xml:space="preserve">     Pavimentação da Rua Garibaldi</t>
  </si>
  <si>
    <t xml:space="preserve">     Recapeamento Alexandre Bartelle, Silveira Martins e Alberto Rovatti.</t>
  </si>
  <si>
    <t xml:space="preserve">     Pavimentação Raimundo Zatti, e Adelina Faé Guerra</t>
  </si>
  <si>
    <t xml:space="preserve">     Pavimentação Ruas Delmo Kerber, José Dalla Riva e Minas Gerais</t>
  </si>
  <si>
    <t xml:space="preserve">     Manutencao Avenida Monsenhor Albino Agazzi.</t>
  </si>
  <si>
    <t xml:space="preserve"> </t>
  </si>
  <si>
    <t xml:space="preserve">     Diversas Ruas</t>
  </si>
  <si>
    <t xml:space="preserve">     Abertura de Estrada em Nova Sardenha/Linha Muller 3º Distrito</t>
  </si>
  <si>
    <t xml:space="preserve">     Pavimentação Da Estrada Fr 02 - Linha Caçador</t>
  </si>
  <si>
    <t>8,057,00m²</t>
  </si>
  <si>
    <t xml:space="preserve">     Abertura de Estrada em Nova Sardenha/Linha Ely</t>
  </si>
  <si>
    <t xml:space="preserve">     Pavimentação Da Estrada Fr 53 - Linha Jacinto</t>
  </si>
  <si>
    <t>7.715,00m²</t>
  </si>
  <si>
    <t>9.300,00m²</t>
  </si>
  <si>
    <t xml:space="preserve">     Pavimentação Na Rua Vitorio Tartarotti Bairro Belvedere</t>
  </si>
  <si>
    <t xml:space="preserve">     Implantação de Pista de Caminhada com Sinalização Paralela à Estrada de Caravaggio</t>
  </si>
  <si>
    <t xml:space="preserve">     Construção De Mirante, Banheiros e Um Centro De Atendimento Ao Turista, No Santuário De Nossa Senhora De Caravaggio</t>
  </si>
  <si>
    <t xml:space="preserve">      Pavimentação Asfáltica da Estrada Fr 60 Linha Jacinto</t>
  </si>
  <si>
    <t>12.172,00m²</t>
  </si>
  <si>
    <t>2º QUADRIMESTRE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</si>
</sst>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\ * #,##0.00_);_(&quot;R$&quot;\ * \(#,##0.00\);_(&quot;R$&quot;\ 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vertical="center"/>
    </xf>
    <xf numFmtId="10" fontId="3" fillId="2" borderId="12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0" fontId="3" fillId="0" borderId="9" xfId="2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165" fontId="3" fillId="0" borderId="17" xfId="1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10" fontId="3" fillId="0" borderId="16" xfId="2" applyNumberFormat="1" applyFont="1" applyBorder="1" applyAlignment="1">
      <alignment horizontal="center" vertical="center"/>
    </xf>
    <xf numFmtId="10" fontId="3" fillId="0" borderId="18" xfId="2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3"/>
  <sheetViews>
    <sheetView tabSelected="1" topLeftCell="B1" zoomScaleNormal="100" workbookViewId="0">
      <selection activeCell="B6" sqref="B6"/>
    </sheetView>
  </sheetViews>
  <sheetFormatPr defaultRowHeight="15.75" x14ac:dyDescent="0.25"/>
  <cols>
    <col min="1" max="1" width="5.7109375" style="1" customWidth="1"/>
    <col min="2" max="2" width="10.7109375" style="2" customWidth="1"/>
    <col min="3" max="3" width="70.7109375" style="1" customWidth="1"/>
    <col min="4" max="4" width="20.7109375" style="3" customWidth="1"/>
    <col min="5" max="8" width="20.7109375" style="1" customWidth="1"/>
    <col min="9" max="9" width="5.7109375" style="1" customWidth="1"/>
    <col min="10" max="16384" width="9.140625" style="1"/>
  </cols>
  <sheetData>
    <row r="2" spans="2:8" x14ac:dyDescent="0.25">
      <c r="B2" s="43" t="s">
        <v>0</v>
      </c>
      <c r="C2" s="43"/>
      <c r="D2" s="43"/>
      <c r="E2" s="43"/>
      <c r="F2" s="43"/>
      <c r="G2" s="43"/>
      <c r="H2" s="43"/>
    </row>
    <row r="3" spans="2:8" x14ac:dyDescent="0.25">
      <c r="B3" s="43" t="s">
        <v>1</v>
      </c>
      <c r="C3" s="43"/>
      <c r="D3" s="43"/>
      <c r="E3" s="43"/>
      <c r="F3" s="43"/>
      <c r="G3" s="43"/>
      <c r="H3" s="43"/>
    </row>
    <row r="4" spans="2:8" x14ac:dyDescent="0.25">
      <c r="B4" s="43" t="s">
        <v>2</v>
      </c>
      <c r="C4" s="43"/>
      <c r="D4" s="43"/>
      <c r="E4" s="43"/>
      <c r="F4" s="43"/>
      <c r="G4" s="43"/>
      <c r="H4" s="43"/>
    </row>
    <row r="5" spans="2:8" x14ac:dyDescent="0.25">
      <c r="B5" s="43" t="s">
        <v>374</v>
      </c>
      <c r="C5" s="43"/>
      <c r="D5" s="43"/>
      <c r="E5" s="43"/>
      <c r="F5" s="43"/>
      <c r="G5" s="43"/>
      <c r="H5" s="43"/>
    </row>
    <row r="6" spans="2:8" ht="16.5" thickBot="1" x14ac:dyDescent="0.3"/>
    <row r="7" spans="2:8" ht="16.5" thickBot="1" x14ac:dyDescent="0.3">
      <c r="B7" s="44" t="s">
        <v>3</v>
      </c>
      <c r="C7" s="45"/>
      <c r="D7" s="45"/>
      <c r="E7" s="45"/>
      <c r="F7" s="45"/>
      <c r="G7" s="45"/>
      <c r="H7" s="46"/>
    </row>
    <row r="8" spans="2:8" ht="16.5" thickBot="1" x14ac:dyDescent="0.3"/>
    <row r="9" spans="2:8" ht="15.75" customHeight="1" x14ac:dyDescent="0.25">
      <c r="B9" s="51" t="s">
        <v>4</v>
      </c>
      <c r="C9" s="47" t="s">
        <v>5</v>
      </c>
      <c r="D9" s="47" t="s">
        <v>6</v>
      </c>
      <c r="E9" s="47" t="s">
        <v>7</v>
      </c>
      <c r="F9" s="47" t="s">
        <v>8</v>
      </c>
      <c r="G9" s="47" t="s">
        <v>9</v>
      </c>
      <c r="H9" s="49" t="s">
        <v>10</v>
      </c>
    </row>
    <row r="10" spans="2:8" x14ac:dyDescent="0.25">
      <c r="B10" s="52"/>
      <c r="C10" s="48"/>
      <c r="D10" s="48"/>
      <c r="E10" s="48"/>
      <c r="F10" s="48"/>
      <c r="G10" s="48"/>
      <c r="H10" s="50"/>
    </row>
    <row r="11" spans="2:8" x14ac:dyDescent="0.25">
      <c r="B11" s="52"/>
      <c r="C11" s="48"/>
      <c r="D11" s="48"/>
      <c r="E11" s="48"/>
      <c r="F11" s="48"/>
      <c r="G11" s="48"/>
      <c r="H11" s="50"/>
    </row>
    <row r="12" spans="2:8" ht="15.75" customHeight="1" x14ac:dyDescent="0.25">
      <c r="B12" s="35" t="s">
        <v>11</v>
      </c>
      <c r="C12" s="4" t="s">
        <v>56</v>
      </c>
      <c r="D12" s="5"/>
      <c r="E12" s="6"/>
      <c r="F12" s="6"/>
      <c r="G12" s="6"/>
      <c r="H12" s="7"/>
    </row>
    <row r="13" spans="2:8" ht="15.75" customHeight="1" x14ac:dyDescent="0.25">
      <c r="B13" s="36"/>
      <c r="C13" s="8" t="s">
        <v>95</v>
      </c>
      <c r="D13" s="9" t="s">
        <v>61</v>
      </c>
      <c r="E13" s="10">
        <v>22000</v>
      </c>
      <c r="F13" s="10">
        <v>19000</v>
      </c>
      <c r="G13" s="10">
        <v>2724</v>
      </c>
      <c r="H13" s="11">
        <f>G13/F13</f>
        <v>0.14336842105263159</v>
      </c>
    </row>
    <row r="14" spans="2:8" ht="15.75" customHeight="1" x14ac:dyDescent="0.25">
      <c r="B14" s="35" t="s">
        <v>57</v>
      </c>
      <c r="C14" s="4" t="s">
        <v>58</v>
      </c>
      <c r="D14" s="12"/>
      <c r="E14" s="13"/>
      <c r="F14" s="13"/>
      <c r="G14" s="13"/>
      <c r="H14" s="14"/>
    </row>
    <row r="15" spans="2:8" ht="15.75" customHeight="1" x14ac:dyDescent="0.25">
      <c r="B15" s="36"/>
      <c r="C15" s="8" t="s">
        <v>12</v>
      </c>
      <c r="D15" s="15" t="s">
        <v>14</v>
      </c>
      <c r="E15" s="16">
        <v>6000</v>
      </c>
      <c r="F15" s="16">
        <v>6000</v>
      </c>
      <c r="G15" s="16">
        <v>0</v>
      </c>
      <c r="H15" s="17">
        <f t="shared" ref="H15" si="0">G15/F15</f>
        <v>0</v>
      </c>
    </row>
    <row r="16" spans="2:8" ht="15.75" customHeight="1" x14ac:dyDescent="0.25">
      <c r="B16" s="35" t="s">
        <v>59</v>
      </c>
      <c r="C16" s="4" t="s">
        <v>60</v>
      </c>
      <c r="D16" s="12"/>
      <c r="E16" s="13"/>
      <c r="F16" s="13"/>
      <c r="G16" s="13"/>
      <c r="H16" s="14"/>
    </row>
    <row r="17" spans="2:8" ht="15.75" customHeight="1" x14ac:dyDescent="0.25">
      <c r="B17" s="36"/>
      <c r="C17" s="8" t="s">
        <v>96</v>
      </c>
      <c r="D17" s="15" t="s">
        <v>61</v>
      </c>
      <c r="E17" s="16">
        <v>11000</v>
      </c>
      <c r="F17" s="16">
        <v>9800</v>
      </c>
      <c r="G17" s="16">
        <v>8700</v>
      </c>
      <c r="H17" s="17">
        <f t="shared" ref="H17" si="1">G17/F17</f>
        <v>0.88775510204081631</v>
      </c>
    </row>
    <row r="18" spans="2:8" ht="15.75" customHeight="1" x14ac:dyDescent="0.25">
      <c r="B18" s="35" t="s">
        <v>13</v>
      </c>
      <c r="C18" s="4" t="s">
        <v>62</v>
      </c>
      <c r="D18" s="12"/>
      <c r="E18" s="13"/>
      <c r="F18" s="13"/>
      <c r="G18" s="13"/>
      <c r="H18" s="14"/>
    </row>
    <row r="19" spans="2:8" ht="15.75" customHeight="1" x14ac:dyDescent="0.25">
      <c r="B19" s="36"/>
      <c r="C19" s="8" t="s">
        <v>97</v>
      </c>
      <c r="D19" s="15" t="s">
        <v>61</v>
      </c>
      <c r="E19" s="16">
        <v>21000</v>
      </c>
      <c r="F19" s="16">
        <v>5500</v>
      </c>
      <c r="G19" s="16">
        <v>4702</v>
      </c>
      <c r="H19" s="17">
        <f t="shared" ref="H19" si="2">G19/F19</f>
        <v>0.85490909090909095</v>
      </c>
    </row>
    <row r="20" spans="2:8" ht="15.75" customHeight="1" x14ac:dyDescent="0.25">
      <c r="B20" s="35" t="s">
        <v>15</v>
      </c>
      <c r="C20" s="4" t="s">
        <v>63</v>
      </c>
      <c r="D20" s="12"/>
      <c r="E20" s="13"/>
      <c r="F20" s="13"/>
      <c r="G20" s="13"/>
      <c r="H20" s="14"/>
    </row>
    <row r="21" spans="2:8" ht="15.75" customHeight="1" x14ac:dyDescent="0.25">
      <c r="B21" s="36"/>
      <c r="C21" s="8" t="s">
        <v>98</v>
      </c>
      <c r="D21" s="15" t="s">
        <v>68</v>
      </c>
      <c r="E21" s="16">
        <v>5200</v>
      </c>
      <c r="F21" s="16">
        <v>1359197</v>
      </c>
      <c r="G21" s="16">
        <v>193688.02</v>
      </c>
      <c r="H21" s="17">
        <f t="shared" ref="H21" si="3">G21/F21</f>
        <v>0.14250180069555773</v>
      </c>
    </row>
    <row r="22" spans="2:8" ht="15.75" customHeight="1" x14ac:dyDescent="0.25">
      <c r="B22" s="35" t="s">
        <v>18</v>
      </c>
      <c r="C22" s="4" t="s">
        <v>64</v>
      </c>
      <c r="D22" s="12"/>
      <c r="E22" s="13"/>
      <c r="F22" s="13"/>
      <c r="G22" s="13"/>
      <c r="H22" s="14"/>
    </row>
    <row r="23" spans="2:8" ht="15.75" customHeight="1" x14ac:dyDescent="0.25">
      <c r="B23" s="36"/>
      <c r="C23" s="8" t="s">
        <v>99</v>
      </c>
      <c r="D23" s="15" t="s">
        <v>241</v>
      </c>
      <c r="E23" s="16">
        <v>12000</v>
      </c>
      <c r="F23" s="16">
        <v>10990</v>
      </c>
      <c r="G23" s="16">
        <v>2970</v>
      </c>
      <c r="H23" s="17">
        <f t="shared" ref="H23" si="4">G23/F23</f>
        <v>0.27024567788899001</v>
      </c>
    </row>
    <row r="24" spans="2:8" ht="15.75" customHeight="1" x14ac:dyDescent="0.25">
      <c r="B24" s="35" t="s">
        <v>19</v>
      </c>
      <c r="C24" s="4" t="s">
        <v>66</v>
      </c>
      <c r="D24" s="12"/>
      <c r="E24" s="13"/>
      <c r="F24" s="13"/>
      <c r="G24" s="13"/>
      <c r="H24" s="14"/>
    </row>
    <row r="25" spans="2:8" ht="15.75" customHeight="1" x14ac:dyDescent="0.25">
      <c r="B25" s="36"/>
      <c r="C25" s="8" t="s">
        <v>100</v>
      </c>
      <c r="D25" s="15" t="s">
        <v>65</v>
      </c>
      <c r="E25" s="16">
        <v>1000</v>
      </c>
      <c r="F25" s="16">
        <v>10</v>
      </c>
      <c r="G25" s="16">
        <v>0</v>
      </c>
      <c r="H25" s="17">
        <f t="shared" ref="H25" si="5">G25/F25</f>
        <v>0</v>
      </c>
    </row>
    <row r="26" spans="2:8" ht="15.75" customHeight="1" x14ac:dyDescent="0.25">
      <c r="B26" s="35" t="s">
        <v>20</v>
      </c>
      <c r="C26" s="4" t="s">
        <v>67</v>
      </c>
      <c r="D26" s="12"/>
      <c r="E26" s="13"/>
      <c r="F26" s="13"/>
      <c r="G26" s="13"/>
      <c r="H26" s="14"/>
    </row>
    <row r="27" spans="2:8" ht="15.75" customHeight="1" x14ac:dyDescent="0.25">
      <c r="B27" s="36"/>
      <c r="C27" s="8" t="s">
        <v>101</v>
      </c>
      <c r="D27" s="15" t="s">
        <v>75</v>
      </c>
      <c r="E27" s="16">
        <v>3000</v>
      </c>
      <c r="F27" s="16">
        <v>4600</v>
      </c>
      <c r="G27" s="16">
        <v>4064</v>
      </c>
      <c r="H27" s="17">
        <f t="shared" ref="H27" si="6">G27/F27</f>
        <v>0.88347826086956527</v>
      </c>
    </row>
    <row r="28" spans="2:8" ht="15.75" customHeight="1" x14ac:dyDescent="0.25">
      <c r="B28" s="35" t="s">
        <v>22</v>
      </c>
      <c r="C28" s="4" t="s">
        <v>69</v>
      </c>
      <c r="D28" s="12"/>
      <c r="E28" s="13"/>
      <c r="F28" s="13"/>
      <c r="G28" s="13"/>
      <c r="H28" s="14"/>
    </row>
    <row r="29" spans="2:8" ht="15.75" customHeight="1" x14ac:dyDescent="0.25">
      <c r="B29" s="36"/>
      <c r="C29" s="8" t="s">
        <v>102</v>
      </c>
      <c r="D29" s="15" t="s">
        <v>208</v>
      </c>
      <c r="E29" s="16">
        <v>228000</v>
      </c>
      <c r="F29" s="16">
        <v>228000</v>
      </c>
      <c r="G29" s="16">
        <v>156780.74</v>
      </c>
      <c r="H29" s="17">
        <f t="shared" ref="H29" si="7">G29/F29</f>
        <v>0.68763482456140346</v>
      </c>
    </row>
    <row r="30" spans="2:8" ht="15.75" customHeight="1" x14ac:dyDescent="0.25">
      <c r="B30" s="35" t="s">
        <v>70</v>
      </c>
      <c r="C30" s="4" t="s">
        <v>71</v>
      </c>
      <c r="D30" s="12"/>
      <c r="E30" s="13"/>
      <c r="F30" s="13"/>
      <c r="G30" s="13"/>
      <c r="H30" s="14"/>
    </row>
    <row r="31" spans="2:8" ht="15.75" customHeight="1" x14ac:dyDescent="0.25">
      <c r="B31" s="36"/>
      <c r="C31" s="8" t="s">
        <v>72</v>
      </c>
      <c r="D31" s="15" t="s">
        <v>73</v>
      </c>
      <c r="E31" s="16">
        <v>30000</v>
      </c>
      <c r="F31" s="16">
        <v>163000</v>
      </c>
      <c r="G31" s="16">
        <v>19614.16</v>
      </c>
      <c r="H31" s="17">
        <f t="shared" ref="H31" si="8">G31/F31</f>
        <v>0.1203322699386503</v>
      </c>
    </row>
    <row r="32" spans="2:8" ht="15.75" customHeight="1" x14ac:dyDescent="0.25">
      <c r="B32" s="35" t="s">
        <v>23</v>
      </c>
      <c r="C32" s="4" t="s">
        <v>74</v>
      </c>
      <c r="D32" s="12"/>
      <c r="E32" s="13"/>
      <c r="F32" s="13"/>
      <c r="G32" s="13"/>
      <c r="H32" s="14"/>
    </row>
    <row r="33" spans="2:8" ht="15.75" customHeight="1" x14ac:dyDescent="0.25">
      <c r="B33" s="36"/>
      <c r="C33" s="8" t="s">
        <v>103</v>
      </c>
      <c r="D33" s="15" t="s">
        <v>75</v>
      </c>
      <c r="E33" s="16">
        <v>5000</v>
      </c>
      <c r="F33" s="16">
        <v>4501</v>
      </c>
      <c r="G33" s="16">
        <v>698</v>
      </c>
      <c r="H33" s="17">
        <f t="shared" ref="H33" si="9">G33/F33</f>
        <v>0.1550766496334148</v>
      </c>
    </row>
    <row r="34" spans="2:8" ht="15.75" customHeight="1" x14ac:dyDescent="0.25">
      <c r="B34" s="35" t="s">
        <v>24</v>
      </c>
      <c r="C34" s="4" t="s">
        <v>76</v>
      </c>
      <c r="D34" s="12"/>
      <c r="E34" s="13"/>
      <c r="F34" s="13"/>
      <c r="G34" s="13"/>
      <c r="H34" s="14"/>
    </row>
    <row r="35" spans="2:8" ht="15.75" customHeight="1" x14ac:dyDescent="0.25">
      <c r="B35" s="36"/>
      <c r="C35" s="8" t="s">
        <v>104</v>
      </c>
      <c r="D35" s="15" t="s">
        <v>65</v>
      </c>
      <c r="E35" s="16">
        <v>500</v>
      </c>
      <c r="F35" s="16">
        <v>1</v>
      </c>
      <c r="G35" s="16">
        <v>0</v>
      </c>
      <c r="H35" s="17">
        <f t="shared" ref="H35" si="10">G35/F35</f>
        <v>0</v>
      </c>
    </row>
    <row r="36" spans="2:8" ht="15.75" customHeight="1" x14ac:dyDescent="0.25">
      <c r="B36" s="35" t="s">
        <v>26</v>
      </c>
      <c r="C36" s="4" t="s">
        <v>16</v>
      </c>
      <c r="D36" s="12"/>
      <c r="E36" s="13"/>
      <c r="F36" s="13"/>
      <c r="G36" s="13"/>
      <c r="H36" s="14"/>
    </row>
    <row r="37" spans="2:8" ht="15.75" customHeight="1" x14ac:dyDescent="0.25">
      <c r="B37" s="37"/>
      <c r="C37" s="8" t="s">
        <v>77</v>
      </c>
      <c r="D37" s="25" t="s">
        <v>293</v>
      </c>
      <c r="E37" s="32">
        <v>2329150</v>
      </c>
      <c r="F37" s="32">
        <v>3914398.9</v>
      </c>
      <c r="G37" s="10">
        <v>46466.559999999998</v>
      </c>
      <c r="H37" s="38">
        <f>SUM(G37:G53)/F37</f>
        <v>0.63055890139351933</v>
      </c>
    </row>
    <row r="38" spans="2:8" ht="15.75" customHeight="1" x14ac:dyDescent="0.25">
      <c r="B38" s="37"/>
      <c r="C38" s="8" t="s">
        <v>283</v>
      </c>
      <c r="D38" s="15" t="s">
        <v>284</v>
      </c>
      <c r="E38" s="33"/>
      <c r="F38" s="33"/>
      <c r="G38" s="10">
        <f>152738.19+1260.68+37341.61</f>
        <v>191340.47999999998</v>
      </c>
      <c r="H38" s="39"/>
    </row>
    <row r="39" spans="2:8" ht="15.75" customHeight="1" x14ac:dyDescent="0.25">
      <c r="B39" s="37"/>
      <c r="C39" s="8" t="s">
        <v>291</v>
      </c>
      <c r="D39" s="15" t="s">
        <v>292</v>
      </c>
      <c r="E39" s="33"/>
      <c r="F39" s="33"/>
      <c r="G39" s="10">
        <v>171553.95</v>
      </c>
      <c r="H39" s="39"/>
    </row>
    <row r="40" spans="2:8" ht="15.75" customHeight="1" x14ac:dyDescent="0.25">
      <c r="B40" s="37"/>
      <c r="C40" s="8" t="s">
        <v>344</v>
      </c>
      <c r="D40" s="15" t="s">
        <v>17</v>
      </c>
      <c r="E40" s="33"/>
      <c r="F40" s="33"/>
      <c r="G40" s="10">
        <f>372</f>
        <v>372</v>
      </c>
      <c r="H40" s="39"/>
    </row>
    <row r="41" spans="2:8" ht="15.75" customHeight="1" x14ac:dyDescent="0.25">
      <c r="B41" s="37"/>
      <c r="C41" s="8" t="s">
        <v>345</v>
      </c>
      <c r="D41" s="15"/>
      <c r="E41" s="33"/>
      <c r="F41" s="33"/>
      <c r="G41" s="10">
        <f>372</f>
        <v>372</v>
      </c>
      <c r="H41" s="39"/>
    </row>
    <row r="42" spans="2:8" ht="15.75" customHeight="1" x14ac:dyDescent="0.25">
      <c r="B42" s="37"/>
      <c r="C42" s="8" t="s">
        <v>346</v>
      </c>
      <c r="D42" s="31" t="s">
        <v>347</v>
      </c>
      <c r="E42" s="33"/>
      <c r="F42" s="33"/>
      <c r="G42" s="10">
        <f>182294.58+10104.04</f>
        <v>192398.62</v>
      </c>
      <c r="H42" s="39"/>
    </row>
    <row r="43" spans="2:8" ht="15.75" customHeight="1" x14ac:dyDescent="0.25">
      <c r="B43" s="37"/>
      <c r="C43" s="8" t="s">
        <v>348</v>
      </c>
      <c r="D43" s="15" t="s">
        <v>350</v>
      </c>
      <c r="E43" s="33"/>
      <c r="F43" s="33"/>
      <c r="G43" s="10">
        <f>252998.77+510227.92+119168.04+1525+13315.73+26854.11+6272.01</f>
        <v>930361.58</v>
      </c>
      <c r="H43" s="39"/>
    </row>
    <row r="44" spans="2:8" ht="15.75" customHeight="1" x14ac:dyDescent="0.25">
      <c r="B44" s="37"/>
      <c r="C44" s="8" t="s">
        <v>349</v>
      </c>
      <c r="D44" s="15" t="s">
        <v>360</v>
      </c>
      <c r="E44" s="33"/>
      <c r="F44" s="33"/>
      <c r="G44" s="10">
        <f>287716.84+15143</f>
        <v>302859.84000000003</v>
      </c>
      <c r="H44" s="39"/>
    </row>
    <row r="45" spans="2:8" ht="31.5" x14ac:dyDescent="0.25">
      <c r="B45" s="37"/>
      <c r="C45" s="8" t="s">
        <v>351</v>
      </c>
      <c r="D45" s="15"/>
      <c r="E45" s="33"/>
      <c r="F45" s="33"/>
      <c r="G45" s="10">
        <f>5775</f>
        <v>5775</v>
      </c>
      <c r="H45" s="39"/>
    </row>
    <row r="46" spans="2:8" ht="15.75" customHeight="1" x14ac:dyDescent="0.25">
      <c r="B46" s="37"/>
      <c r="C46" s="8" t="s">
        <v>352</v>
      </c>
      <c r="D46" s="15" t="s">
        <v>353</v>
      </c>
      <c r="E46" s="33"/>
      <c r="F46" s="33"/>
      <c r="G46" s="10">
        <f>5078.39+20+100532.11+398256.07</f>
        <v>503886.57</v>
      </c>
      <c r="H46" s="39"/>
    </row>
    <row r="47" spans="2:8" ht="15.75" customHeight="1" x14ac:dyDescent="0.25">
      <c r="B47" s="37"/>
      <c r="C47" s="8" t="s">
        <v>354</v>
      </c>
      <c r="D47" s="15"/>
      <c r="E47" s="33"/>
      <c r="F47" s="33"/>
      <c r="G47" s="10">
        <f>3438.75*4+2620</f>
        <v>16375</v>
      </c>
      <c r="H47" s="39"/>
    </row>
    <row r="48" spans="2:8" ht="15.75" customHeight="1" x14ac:dyDescent="0.25">
      <c r="B48" s="37"/>
      <c r="C48" s="8" t="s">
        <v>355</v>
      </c>
      <c r="D48" s="15"/>
      <c r="E48" s="33"/>
      <c r="F48" s="33"/>
      <c r="G48" s="10">
        <f>874.8+475.2</f>
        <v>1350</v>
      </c>
      <c r="H48" s="39"/>
    </row>
    <row r="49" spans="2:8" ht="31.5" x14ac:dyDescent="0.25">
      <c r="B49" s="37"/>
      <c r="C49" s="8" t="s">
        <v>356</v>
      </c>
      <c r="D49" s="15"/>
      <c r="E49" s="33"/>
      <c r="F49" s="33"/>
      <c r="G49" s="10">
        <f>2882+11576+2469.79</f>
        <v>16927.79</v>
      </c>
      <c r="H49" s="39"/>
    </row>
    <row r="50" spans="2:8" x14ac:dyDescent="0.25">
      <c r="B50" s="37"/>
      <c r="C50" s="8" t="s">
        <v>361</v>
      </c>
      <c r="D50" s="15"/>
      <c r="E50" s="33"/>
      <c r="F50" s="33"/>
      <c r="G50" s="10">
        <f>3500+47250</f>
        <v>50750</v>
      </c>
      <c r="H50" s="39"/>
    </row>
    <row r="51" spans="2:8" x14ac:dyDescent="0.25">
      <c r="B51" s="37"/>
      <c r="C51" s="8" t="s">
        <v>357</v>
      </c>
      <c r="D51" s="15"/>
      <c r="E51" s="33"/>
      <c r="F51" s="33"/>
      <c r="G51" s="10">
        <f>1344+3111.25+3438.75+3275+1792</f>
        <v>12961</v>
      </c>
      <c r="H51" s="39"/>
    </row>
    <row r="52" spans="2:8" x14ac:dyDescent="0.25">
      <c r="B52" s="37"/>
      <c r="C52" s="8" t="s">
        <v>358</v>
      </c>
      <c r="D52" s="15"/>
      <c r="E52" s="33"/>
      <c r="F52" s="33"/>
      <c r="G52" s="10">
        <f>3006+5235.93+1036+2516+2960+2960+3036+320</f>
        <v>21069.93</v>
      </c>
      <c r="H52" s="39"/>
    </row>
    <row r="53" spans="2:8" x14ac:dyDescent="0.25">
      <c r="B53" s="36"/>
      <c r="C53" s="8" t="s">
        <v>359</v>
      </c>
      <c r="D53" s="15"/>
      <c r="E53" s="34"/>
      <c r="F53" s="34"/>
      <c r="G53" s="10">
        <f>3438.75</f>
        <v>3438.75</v>
      </c>
      <c r="H53" s="40"/>
    </row>
    <row r="54" spans="2:8" ht="15.75" customHeight="1" x14ac:dyDescent="0.25">
      <c r="B54" s="35" t="s">
        <v>28</v>
      </c>
      <c r="C54" s="4" t="s">
        <v>78</v>
      </c>
      <c r="D54" s="12"/>
      <c r="E54" s="13"/>
      <c r="F54" s="13"/>
      <c r="G54" s="13"/>
      <c r="H54" s="14"/>
    </row>
    <row r="55" spans="2:8" ht="15.75" customHeight="1" x14ac:dyDescent="0.25">
      <c r="B55" s="37"/>
      <c r="C55" s="8" t="s">
        <v>79</v>
      </c>
      <c r="D55" s="15" t="s">
        <v>296</v>
      </c>
      <c r="E55" s="33">
        <v>615000</v>
      </c>
      <c r="F55" s="33">
        <v>675898.24</v>
      </c>
      <c r="G55" s="16">
        <v>37658.559999999998</v>
      </c>
      <c r="H55" s="39">
        <f>SUM(G55:G56)/F55</f>
        <v>0.19541971288459042</v>
      </c>
    </row>
    <row r="56" spans="2:8" ht="15.75" customHeight="1" x14ac:dyDescent="0.25">
      <c r="B56" s="37"/>
      <c r="C56" s="8" t="s">
        <v>295</v>
      </c>
      <c r="D56" s="15" t="s">
        <v>294</v>
      </c>
      <c r="E56" s="33"/>
      <c r="F56" s="33"/>
      <c r="G56" s="16">
        <f>30365.91+21602.67+105.68+42351.02</f>
        <v>94425.279999999999</v>
      </c>
      <c r="H56" s="39"/>
    </row>
    <row r="57" spans="2:8" ht="15.75" customHeight="1" x14ac:dyDescent="0.25">
      <c r="B57" s="35" t="s">
        <v>80</v>
      </c>
      <c r="C57" s="4" t="s">
        <v>81</v>
      </c>
      <c r="D57" s="12"/>
      <c r="E57" s="13"/>
      <c r="F57" s="13"/>
      <c r="G57" s="13"/>
      <c r="H57" s="14"/>
    </row>
    <row r="58" spans="2:8" ht="15.75" customHeight="1" x14ac:dyDescent="0.25">
      <c r="B58" s="36"/>
      <c r="C58" s="8" t="s">
        <v>105</v>
      </c>
      <c r="D58" s="15" t="s">
        <v>68</v>
      </c>
      <c r="E58" s="16">
        <v>6000</v>
      </c>
      <c r="F58" s="16">
        <v>5500</v>
      </c>
      <c r="G58" s="16">
        <v>0</v>
      </c>
      <c r="H58" s="17">
        <f t="shared" ref="H58" si="11">G58/F58</f>
        <v>0</v>
      </c>
    </row>
    <row r="59" spans="2:8" ht="15.75" customHeight="1" x14ac:dyDescent="0.25">
      <c r="B59" s="35" t="s">
        <v>30</v>
      </c>
      <c r="C59" s="4" t="s">
        <v>82</v>
      </c>
      <c r="D59" s="12"/>
      <c r="E59" s="13"/>
      <c r="F59" s="13"/>
      <c r="G59" s="13"/>
      <c r="H59" s="14"/>
    </row>
    <row r="60" spans="2:8" ht="15.75" customHeight="1" x14ac:dyDescent="0.25">
      <c r="B60" s="36"/>
      <c r="C60" s="8" t="s">
        <v>84</v>
      </c>
      <c r="D60" s="15" t="s">
        <v>83</v>
      </c>
      <c r="E60" s="16">
        <v>100000</v>
      </c>
      <c r="F60" s="16">
        <v>100000</v>
      </c>
      <c r="G60" s="16">
        <f>49137.24</f>
        <v>49137.24</v>
      </c>
      <c r="H60" s="17">
        <f t="shared" ref="H60" si="12">G60/F60</f>
        <v>0.49137239999999999</v>
      </c>
    </row>
    <row r="61" spans="2:8" ht="15.75" customHeight="1" x14ac:dyDescent="0.25">
      <c r="B61" s="35" t="s">
        <v>87</v>
      </c>
      <c r="C61" s="4" t="s">
        <v>21</v>
      </c>
      <c r="D61" s="12"/>
      <c r="E61" s="13"/>
      <c r="F61" s="13"/>
      <c r="G61" s="13"/>
      <c r="H61" s="14"/>
    </row>
    <row r="62" spans="2:8" ht="15.75" customHeight="1" x14ac:dyDescent="0.25">
      <c r="B62" s="36"/>
      <c r="C62" s="8" t="s">
        <v>85</v>
      </c>
      <c r="D62" s="15" t="s">
        <v>86</v>
      </c>
      <c r="E62" s="16">
        <v>22100</v>
      </c>
      <c r="F62" s="16">
        <v>2150</v>
      </c>
      <c r="G62" s="16">
        <v>0</v>
      </c>
      <c r="H62" s="17">
        <f t="shared" ref="H62" si="13">G62/F62</f>
        <v>0</v>
      </c>
    </row>
    <row r="63" spans="2:8" ht="15.75" customHeight="1" x14ac:dyDescent="0.25">
      <c r="B63" s="35" t="s">
        <v>31</v>
      </c>
      <c r="C63" s="4" t="s">
        <v>88</v>
      </c>
      <c r="D63" s="12"/>
      <c r="E63" s="13"/>
      <c r="F63" s="13"/>
      <c r="G63" s="13"/>
      <c r="H63" s="14"/>
    </row>
    <row r="64" spans="2:8" ht="15.75" customHeight="1" x14ac:dyDescent="0.25">
      <c r="B64" s="37"/>
      <c r="C64" s="8" t="s">
        <v>297</v>
      </c>
      <c r="D64" s="25" t="s">
        <v>17</v>
      </c>
      <c r="E64" s="33">
        <v>70000</v>
      </c>
      <c r="F64" s="33">
        <v>76664.94</v>
      </c>
      <c r="G64" s="16">
        <f>22061+1012+14376+3001.5+3780+4280.1+2684</f>
        <v>51194.6</v>
      </c>
      <c r="H64" s="39">
        <f>SUM(G64:G65)/F64</f>
        <v>0.86994915798538419</v>
      </c>
    </row>
    <row r="65" spans="2:8" ht="15.75" customHeight="1" x14ac:dyDescent="0.25">
      <c r="B65" s="37"/>
      <c r="C65" s="8" t="s">
        <v>298</v>
      </c>
      <c r="D65" s="25" t="s">
        <v>17</v>
      </c>
      <c r="E65" s="33"/>
      <c r="F65" s="33"/>
      <c r="G65" s="16">
        <v>15500</v>
      </c>
      <c r="H65" s="39"/>
    </row>
    <row r="66" spans="2:8" ht="15.75" customHeight="1" x14ac:dyDescent="0.25">
      <c r="B66" s="35" t="s">
        <v>89</v>
      </c>
      <c r="C66" s="4" t="s">
        <v>90</v>
      </c>
      <c r="D66" s="12"/>
      <c r="E66" s="13"/>
      <c r="F66" s="13"/>
      <c r="G66" s="13"/>
      <c r="H66" s="14"/>
    </row>
    <row r="67" spans="2:8" ht="15.75" customHeight="1" x14ac:dyDescent="0.25">
      <c r="B67" s="37"/>
      <c r="C67" s="8" t="s">
        <v>299</v>
      </c>
      <c r="D67" s="15" t="s">
        <v>300</v>
      </c>
      <c r="E67" s="32">
        <v>1740000</v>
      </c>
      <c r="F67" s="32">
        <f>10296290</f>
        <v>10296290</v>
      </c>
      <c r="G67" s="16">
        <f>123252.82+1297+3891+3891+3891+3120+3120+1680+1080+1140+4180</f>
        <v>150542.82</v>
      </c>
      <c r="H67" s="38">
        <f>SUM(G67:G78)/F67</f>
        <v>0.24472713181155542</v>
      </c>
    </row>
    <row r="68" spans="2:8" ht="15.75" customHeight="1" x14ac:dyDescent="0.25">
      <c r="B68" s="37"/>
      <c r="C68" s="8" t="s">
        <v>301</v>
      </c>
      <c r="D68" s="15" t="s">
        <v>368</v>
      </c>
      <c r="E68" s="33"/>
      <c r="F68" s="33"/>
      <c r="G68" s="16">
        <f>384279.52+4470.51+84939.65</f>
        <v>473689.68000000005</v>
      </c>
      <c r="H68" s="39"/>
    </row>
    <row r="69" spans="2:8" ht="15.75" customHeight="1" x14ac:dyDescent="0.25">
      <c r="B69" s="37"/>
      <c r="C69" s="8" t="s">
        <v>302</v>
      </c>
      <c r="D69" s="15" t="s">
        <v>91</v>
      </c>
      <c r="E69" s="33"/>
      <c r="F69" s="33"/>
      <c r="G69" s="16">
        <v>66359.38</v>
      </c>
      <c r="H69" s="39"/>
    </row>
    <row r="70" spans="2:8" ht="15.75" customHeight="1" x14ac:dyDescent="0.25">
      <c r="B70" s="37"/>
      <c r="C70" s="8" t="s">
        <v>303</v>
      </c>
      <c r="D70" s="15" t="s">
        <v>304</v>
      </c>
      <c r="E70" s="33"/>
      <c r="F70" s="33"/>
      <c r="G70" s="16">
        <v>336057.77</v>
      </c>
      <c r="H70" s="39"/>
    </row>
    <row r="71" spans="2:8" ht="15.75" customHeight="1" x14ac:dyDescent="0.25">
      <c r="B71" s="37"/>
      <c r="C71" s="8" t="s">
        <v>305</v>
      </c>
      <c r="D71" s="15" t="s">
        <v>306</v>
      </c>
      <c r="E71" s="33"/>
      <c r="F71" s="33"/>
      <c r="G71" s="16">
        <v>155023.70000000001</v>
      </c>
      <c r="H71" s="39"/>
    </row>
    <row r="72" spans="2:8" ht="15.75" customHeight="1" x14ac:dyDescent="0.25">
      <c r="B72" s="37"/>
      <c r="C72" s="8" t="s">
        <v>307</v>
      </c>
      <c r="D72" s="15" t="s">
        <v>308</v>
      </c>
      <c r="E72" s="33"/>
      <c r="F72" s="33"/>
      <c r="G72" s="16">
        <v>310626.28000000003</v>
      </c>
      <c r="H72" s="39"/>
    </row>
    <row r="73" spans="2:8" ht="15.75" customHeight="1" x14ac:dyDescent="0.25">
      <c r="B73" s="37"/>
      <c r="C73" s="8" t="s">
        <v>309</v>
      </c>
      <c r="D73" s="15" t="s">
        <v>17</v>
      </c>
      <c r="E73" s="33"/>
      <c r="F73" s="33"/>
      <c r="G73" s="16">
        <f>8260.25+2914.75+5000.32</f>
        <v>16175.32</v>
      </c>
      <c r="H73" s="39"/>
    </row>
    <row r="74" spans="2:8" ht="15.75" customHeight="1" x14ac:dyDescent="0.25">
      <c r="B74" s="37"/>
      <c r="C74" s="8" t="s">
        <v>362</v>
      </c>
      <c r="D74" s="15"/>
      <c r="E74" s="33"/>
      <c r="F74" s="33"/>
      <c r="G74" s="16">
        <f>30000+10472+324.25+4215.25+1118.8+1621.01+30000+9520+5481+19992+1560+640.76+1003.79+2447.24+30000+18364.08+2040+480+2280</f>
        <v>171560.18</v>
      </c>
      <c r="H74" s="39"/>
    </row>
    <row r="75" spans="2:8" ht="15.75" customHeight="1" x14ac:dyDescent="0.25">
      <c r="B75" s="37"/>
      <c r="C75" s="8" t="s">
        <v>365</v>
      </c>
      <c r="D75" s="15"/>
      <c r="E75" s="33"/>
      <c r="F75" s="33"/>
      <c r="G75" s="16">
        <f>30000+978.95</f>
        <v>30978.95</v>
      </c>
      <c r="H75" s="39"/>
    </row>
    <row r="76" spans="2:8" ht="15.75" customHeight="1" x14ac:dyDescent="0.25">
      <c r="B76" s="37"/>
      <c r="C76" s="8" t="s">
        <v>363</v>
      </c>
      <c r="D76" s="15" t="s">
        <v>364</v>
      </c>
      <c r="E76" s="33"/>
      <c r="F76" s="33"/>
      <c r="G76" s="16">
        <f>8313.9+11914.05+157963.93+226366.77</f>
        <v>404558.65</v>
      </c>
      <c r="H76" s="39"/>
    </row>
    <row r="77" spans="2:8" ht="15.75" customHeight="1" x14ac:dyDescent="0.25">
      <c r="B77" s="37"/>
      <c r="C77" s="8" t="s">
        <v>366</v>
      </c>
      <c r="D77" s="15" t="s">
        <v>367</v>
      </c>
      <c r="E77" s="33"/>
      <c r="F77" s="33"/>
      <c r="G77" s="16">
        <f>19810.44+376398.35</f>
        <v>396208.79</v>
      </c>
      <c r="H77" s="39"/>
    </row>
    <row r="78" spans="2:8" ht="15.75" customHeight="1" x14ac:dyDescent="0.25">
      <c r="B78" s="36"/>
      <c r="C78" s="8" t="s">
        <v>369</v>
      </c>
      <c r="D78" s="15"/>
      <c r="E78" s="34"/>
      <c r="F78" s="34"/>
      <c r="G78" s="16">
        <f>4608+3072+320</f>
        <v>8000</v>
      </c>
      <c r="H78" s="40"/>
    </row>
    <row r="79" spans="2:8" ht="15.75" customHeight="1" x14ac:dyDescent="0.25">
      <c r="B79" s="35" t="s">
        <v>92</v>
      </c>
      <c r="C79" s="4" t="s">
        <v>93</v>
      </c>
      <c r="D79" s="12"/>
      <c r="E79" s="13"/>
      <c r="F79" s="13"/>
      <c r="G79" s="13"/>
      <c r="H79" s="14"/>
    </row>
    <row r="80" spans="2:8" ht="15.75" customHeight="1" x14ac:dyDescent="0.25">
      <c r="B80" s="36"/>
      <c r="C80" s="8" t="s">
        <v>106</v>
      </c>
      <c r="D80" s="15" t="s">
        <v>65</v>
      </c>
      <c r="E80" s="16">
        <v>1100</v>
      </c>
      <c r="F80" s="16">
        <v>1100</v>
      </c>
      <c r="G80" s="16">
        <v>0</v>
      </c>
      <c r="H80" s="17">
        <f t="shared" ref="H80" si="14">G80/F80</f>
        <v>0</v>
      </c>
    </row>
    <row r="81" spans="2:8" ht="15.75" customHeight="1" x14ac:dyDescent="0.25">
      <c r="B81" s="35" t="s">
        <v>32</v>
      </c>
      <c r="C81" s="4" t="s">
        <v>94</v>
      </c>
      <c r="D81" s="12"/>
      <c r="E81" s="13"/>
      <c r="F81" s="13"/>
      <c r="G81" s="13"/>
      <c r="H81" s="14"/>
    </row>
    <row r="82" spans="2:8" ht="15.75" customHeight="1" x14ac:dyDescent="0.25">
      <c r="B82" s="36"/>
      <c r="C82" s="8" t="s">
        <v>107</v>
      </c>
      <c r="D82" s="15" t="s">
        <v>65</v>
      </c>
      <c r="E82" s="16">
        <v>500</v>
      </c>
      <c r="F82" s="16">
        <v>256600</v>
      </c>
      <c r="G82" s="16">
        <f>251345</f>
        <v>251345</v>
      </c>
      <c r="H82" s="17">
        <f t="shared" ref="H82" si="15">G82/F82</f>
        <v>0.97952065471551053</v>
      </c>
    </row>
    <row r="83" spans="2:8" ht="15.75" customHeight="1" x14ac:dyDescent="0.25">
      <c r="B83" s="35" t="s">
        <v>34</v>
      </c>
      <c r="C83" s="4" t="s">
        <v>108</v>
      </c>
      <c r="D83" s="12"/>
      <c r="E83" s="13"/>
      <c r="F83" s="13"/>
      <c r="G83" s="13"/>
      <c r="H83" s="14"/>
    </row>
    <row r="84" spans="2:8" ht="15.75" customHeight="1" x14ac:dyDescent="0.25">
      <c r="B84" s="36"/>
      <c r="C84" s="8" t="s">
        <v>109</v>
      </c>
      <c r="D84" s="15" t="s">
        <v>65</v>
      </c>
      <c r="E84" s="16">
        <v>500</v>
      </c>
      <c r="F84" s="16">
        <v>500</v>
      </c>
      <c r="G84" s="16">
        <v>0</v>
      </c>
      <c r="H84" s="17">
        <f t="shared" ref="H84" si="16">G84/F84</f>
        <v>0</v>
      </c>
    </row>
    <row r="85" spans="2:8" ht="15.75" customHeight="1" x14ac:dyDescent="0.25">
      <c r="B85" s="35" t="s">
        <v>110</v>
      </c>
      <c r="C85" s="4" t="s">
        <v>111</v>
      </c>
      <c r="D85" s="12"/>
      <c r="E85" s="13"/>
      <c r="F85" s="13"/>
      <c r="G85" s="13"/>
      <c r="H85" s="14"/>
    </row>
    <row r="86" spans="2:8" ht="15.75" customHeight="1" x14ac:dyDescent="0.25">
      <c r="B86" s="36"/>
      <c r="C86" s="8" t="s">
        <v>112</v>
      </c>
      <c r="D86" s="15" t="s">
        <v>65</v>
      </c>
      <c r="E86" s="16">
        <v>1000</v>
      </c>
      <c r="F86" s="16">
        <v>1000</v>
      </c>
      <c r="G86" s="16">
        <v>0</v>
      </c>
      <c r="H86" s="17">
        <f t="shared" ref="H86" si="17">G86/F86</f>
        <v>0</v>
      </c>
    </row>
    <row r="87" spans="2:8" ht="15.75" customHeight="1" x14ac:dyDescent="0.25">
      <c r="B87" s="35" t="s">
        <v>35</v>
      </c>
      <c r="C87" s="4" t="s">
        <v>113</v>
      </c>
      <c r="D87" s="12"/>
      <c r="E87" s="13"/>
      <c r="F87" s="13"/>
      <c r="G87" s="13"/>
      <c r="H87" s="14"/>
    </row>
    <row r="88" spans="2:8" ht="15.75" customHeight="1" x14ac:dyDescent="0.25">
      <c r="B88" s="36"/>
      <c r="C88" s="8" t="s">
        <v>114</v>
      </c>
      <c r="D88" s="15" t="s">
        <v>68</v>
      </c>
      <c r="E88" s="16">
        <v>6000</v>
      </c>
      <c r="F88" s="16">
        <v>5200</v>
      </c>
      <c r="G88" s="16">
        <v>0</v>
      </c>
      <c r="H88" s="17">
        <f t="shared" ref="H88" si="18">G88/F88</f>
        <v>0</v>
      </c>
    </row>
    <row r="89" spans="2:8" ht="15.75" customHeight="1" x14ac:dyDescent="0.25">
      <c r="B89" s="35" t="s">
        <v>36</v>
      </c>
      <c r="C89" s="4" t="s">
        <v>115</v>
      </c>
      <c r="D89" s="12"/>
      <c r="E89" s="13"/>
      <c r="F89" s="13"/>
      <c r="G89" s="13"/>
      <c r="H89" s="14"/>
    </row>
    <row r="90" spans="2:8" ht="15.75" customHeight="1" x14ac:dyDescent="0.25">
      <c r="B90" s="36"/>
      <c r="C90" s="8" t="s">
        <v>25</v>
      </c>
      <c r="D90" s="15" t="s">
        <v>116</v>
      </c>
      <c r="E90" s="21">
        <v>45100</v>
      </c>
      <c r="F90" s="29">
        <f>1919807.46</f>
        <v>1919807.46</v>
      </c>
      <c r="G90" s="16">
        <f>1694</f>
        <v>1694</v>
      </c>
      <c r="H90" s="22">
        <f>G90/F90</f>
        <v>8.8238015285136979E-4</v>
      </c>
    </row>
    <row r="91" spans="2:8" ht="15.75" customHeight="1" x14ac:dyDescent="0.25">
      <c r="B91" s="35" t="s">
        <v>37</v>
      </c>
      <c r="C91" s="4" t="s">
        <v>117</v>
      </c>
      <c r="D91" s="12"/>
      <c r="E91" s="13"/>
      <c r="F91" s="13"/>
      <c r="G91" s="13"/>
      <c r="H91" s="14"/>
    </row>
    <row r="92" spans="2:8" ht="15.75" customHeight="1" x14ac:dyDescent="0.25">
      <c r="B92" s="37"/>
      <c r="C92" s="8" t="s">
        <v>118</v>
      </c>
      <c r="D92" s="15" t="s">
        <v>27</v>
      </c>
      <c r="E92" s="32">
        <v>991000</v>
      </c>
      <c r="F92" s="32">
        <v>1021000</v>
      </c>
      <c r="G92" s="16">
        <f>20771.98+8902.28+48712.67+6858.38+785.88+1087.77+2300+4438.5+819+162747.41+21036.22+469.75+3634.18</f>
        <v>282564.01999999996</v>
      </c>
      <c r="H92" s="38">
        <f>SUM(G92:G94)/F92</f>
        <v>0.4054118217433888</v>
      </c>
    </row>
    <row r="93" spans="2:8" ht="15.75" customHeight="1" x14ac:dyDescent="0.25">
      <c r="B93" s="37"/>
      <c r="C93" s="8" t="s">
        <v>310</v>
      </c>
      <c r="D93" s="15" t="s">
        <v>287</v>
      </c>
      <c r="E93" s="33"/>
      <c r="F93" s="33"/>
      <c r="G93" s="16">
        <f>29760.34+1601.11+45000+55000</f>
        <v>131361.45000000001</v>
      </c>
      <c r="H93" s="39"/>
    </row>
    <row r="94" spans="2:8" ht="15.75" customHeight="1" x14ac:dyDescent="0.25">
      <c r="B94" s="36"/>
      <c r="C94" s="8" t="s">
        <v>311</v>
      </c>
      <c r="D94" s="15" t="s">
        <v>17</v>
      </c>
      <c r="E94" s="34"/>
      <c r="F94" s="34"/>
      <c r="G94" s="16">
        <v>0</v>
      </c>
      <c r="H94" s="40"/>
    </row>
    <row r="95" spans="2:8" ht="15.75" customHeight="1" x14ac:dyDescent="0.25">
      <c r="B95" s="35" t="s">
        <v>40</v>
      </c>
      <c r="C95" s="4" t="s">
        <v>119</v>
      </c>
      <c r="D95" s="12"/>
      <c r="E95" s="13"/>
      <c r="F95" s="13"/>
      <c r="G95" s="13"/>
      <c r="H95" s="14"/>
    </row>
    <row r="96" spans="2:8" ht="15.75" customHeight="1" x14ac:dyDescent="0.25">
      <c r="B96" s="36"/>
      <c r="C96" s="8" t="s">
        <v>120</v>
      </c>
      <c r="D96" s="15" t="s">
        <v>61</v>
      </c>
      <c r="E96" s="16">
        <v>12000</v>
      </c>
      <c r="F96" s="16">
        <v>12000</v>
      </c>
      <c r="G96" s="16">
        <v>7242.75</v>
      </c>
      <c r="H96" s="17">
        <f t="shared" ref="H96" si="19">G96/F96</f>
        <v>0.6035625</v>
      </c>
    </row>
    <row r="97" spans="2:8" ht="15.75" customHeight="1" x14ac:dyDescent="0.25">
      <c r="B97" s="35" t="s">
        <v>43</v>
      </c>
      <c r="C97" s="4" t="s">
        <v>121</v>
      </c>
      <c r="D97" s="12"/>
      <c r="E97" s="13"/>
      <c r="F97" s="13"/>
      <c r="G97" s="13"/>
      <c r="H97" s="14"/>
    </row>
    <row r="98" spans="2:8" ht="15.75" customHeight="1" x14ac:dyDescent="0.25">
      <c r="B98" s="36"/>
      <c r="C98" s="8" t="s">
        <v>122</v>
      </c>
      <c r="D98" s="15" t="s">
        <v>75</v>
      </c>
      <c r="E98" s="16">
        <v>31000</v>
      </c>
      <c r="F98" s="16">
        <v>1658912</v>
      </c>
      <c r="G98" s="16">
        <f>313476.5</f>
        <v>313476.5</v>
      </c>
      <c r="H98" s="17">
        <f t="shared" ref="H98" si="20">G98/F98</f>
        <v>0.18896511689589321</v>
      </c>
    </row>
    <row r="99" spans="2:8" ht="15.75" customHeight="1" x14ac:dyDescent="0.25">
      <c r="B99" s="35" t="s">
        <v>123</v>
      </c>
      <c r="C99" s="4" t="s">
        <v>124</v>
      </c>
      <c r="D99" s="12"/>
      <c r="E99" s="13"/>
      <c r="F99" s="13"/>
      <c r="G99" s="13"/>
      <c r="H99" s="14"/>
    </row>
    <row r="100" spans="2:8" ht="15.75" customHeight="1" x14ac:dyDescent="0.25">
      <c r="B100" s="36"/>
      <c r="C100" s="8" t="s">
        <v>125</v>
      </c>
      <c r="D100" s="15" t="s">
        <v>17</v>
      </c>
      <c r="E100" s="23">
        <v>10000</v>
      </c>
      <c r="F100" s="23">
        <v>10000</v>
      </c>
      <c r="G100" s="16">
        <v>0</v>
      </c>
      <c r="H100" s="24">
        <f>G100/F100</f>
        <v>0</v>
      </c>
    </row>
    <row r="101" spans="2:8" ht="15.75" customHeight="1" x14ac:dyDescent="0.25">
      <c r="B101" s="35" t="s">
        <v>126</v>
      </c>
      <c r="C101" s="4" t="s">
        <v>127</v>
      </c>
      <c r="D101" s="12"/>
      <c r="E101" s="13"/>
      <c r="F101" s="13"/>
      <c r="G101" s="13"/>
      <c r="H101" s="14"/>
    </row>
    <row r="102" spans="2:8" ht="15.75" customHeight="1" x14ac:dyDescent="0.25">
      <c r="B102" s="36"/>
      <c r="C102" s="8" t="s">
        <v>128</v>
      </c>
      <c r="D102" s="15" t="s">
        <v>68</v>
      </c>
      <c r="E102" s="16">
        <v>5000</v>
      </c>
      <c r="F102" s="16">
        <v>55000</v>
      </c>
      <c r="G102" s="16">
        <v>9187</v>
      </c>
      <c r="H102" s="17">
        <f t="shared" ref="H102" si="21">G102/F102</f>
        <v>0.16703636363636365</v>
      </c>
    </row>
    <row r="103" spans="2:8" ht="15.75" customHeight="1" x14ac:dyDescent="0.25">
      <c r="B103" s="35" t="s">
        <v>45</v>
      </c>
      <c r="C103" s="4" t="s">
        <v>129</v>
      </c>
      <c r="D103" s="12"/>
      <c r="E103" s="13"/>
      <c r="F103" s="13"/>
      <c r="G103" s="13"/>
      <c r="H103" s="14"/>
    </row>
    <row r="104" spans="2:8" ht="15.75" customHeight="1" x14ac:dyDescent="0.25">
      <c r="B104" s="36"/>
      <c r="C104" s="8" t="s">
        <v>130</v>
      </c>
      <c r="D104" s="15" t="s">
        <v>17</v>
      </c>
      <c r="E104" s="23">
        <v>31000</v>
      </c>
      <c r="F104" s="23">
        <f>741000</f>
        <v>741000</v>
      </c>
      <c r="G104" s="16">
        <v>0</v>
      </c>
      <c r="H104" s="24">
        <f>G104/F104</f>
        <v>0</v>
      </c>
    </row>
    <row r="105" spans="2:8" ht="15.75" customHeight="1" x14ac:dyDescent="0.25">
      <c r="B105" s="35" t="s">
        <v>131</v>
      </c>
      <c r="C105" s="4" t="s">
        <v>132</v>
      </c>
      <c r="D105" s="12"/>
      <c r="E105" s="13"/>
      <c r="F105" s="13"/>
      <c r="G105" s="13"/>
      <c r="H105" s="14"/>
    </row>
    <row r="106" spans="2:8" ht="15.75" customHeight="1" x14ac:dyDescent="0.25">
      <c r="B106" s="36"/>
      <c r="C106" s="8" t="s">
        <v>133</v>
      </c>
      <c r="D106" s="15" t="s">
        <v>61</v>
      </c>
      <c r="E106" s="16">
        <v>6000</v>
      </c>
      <c r="F106" s="16">
        <v>6000</v>
      </c>
      <c r="G106" s="16">
        <v>0</v>
      </c>
      <c r="H106" s="17">
        <f t="shared" ref="H106" si="22">G106/F106</f>
        <v>0</v>
      </c>
    </row>
    <row r="107" spans="2:8" ht="15.75" customHeight="1" x14ac:dyDescent="0.25">
      <c r="B107" s="35" t="s">
        <v>134</v>
      </c>
      <c r="C107" s="4" t="s">
        <v>135</v>
      </c>
      <c r="D107" s="12"/>
      <c r="E107" s="13"/>
      <c r="F107" s="13"/>
      <c r="G107" s="13"/>
      <c r="H107" s="14"/>
    </row>
    <row r="108" spans="2:8" ht="15.75" customHeight="1" x14ac:dyDescent="0.25">
      <c r="B108" s="36"/>
      <c r="C108" s="8" t="s">
        <v>136</v>
      </c>
      <c r="D108" s="15" t="s">
        <v>65</v>
      </c>
      <c r="E108" s="16">
        <v>1100</v>
      </c>
      <c r="F108" s="16">
        <v>1100</v>
      </c>
      <c r="G108" s="16">
        <v>0</v>
      </c>
      <c r="H108" s="17">
        <f t="shared" ref="H108" si="23">G108/F108</f>
        <v>0</v>
      </c>
    </row>
    <row r="109" spans="2:8" ht="15.75" customHeight="1" x14ac:dyDescent="0.25">
      <c r="B109" s="35" t="s">
        <v>137</v>
      </c>
      <c r="C109" s="4" t="s">
        <v>138</v>
      </c>
      <c r="D109" s="12"/>
      <c r="E109" s="13"/>
      <c r="F109" s="13"/>
      <c r="G109" s="13"/>
      <c r="H109" s="14"/>
    </row>
    <row r="110" spans="2:8" ht="15.75" customHeight="1" x14ac:dyDescent="0.25">
      <c r="B110" s="37"/>
      <c r="C110" s="8" t="s">
        <v>139</v>
      </c>
      <c r="D110" s="15" t="s">
        <v>29</v>
      </c>
      <c r="E110" s="32">
        <v>1794000</v>
      </c>
      <c r="F110" s="32">
        <v>1819000</v>
      </c>
      <c r="G110" s="16">
        <v>0</v>
      </c>
      <c r="H110" s="38">
        <f>SUM(G110:G111)/F110</f>
        <v>8.5672226498075862E-2</v>
      </c>
    </row>
    <row r="111" spans="2:8" ht="15.75" customHeight="1" x14ac:dyDescent="0.25">
      <c r="B111" s="36"/>
      <c r="C111" s="8" t="s">
        <v>140</v>
      </c>
      <c r="D111" s="15" t="s">
        <v>17</v>
      </c>
      <c r="E111" s="34"/>
      <c r="F111" s="34"/>
      <c r="G111" s="16">
        <f>4520.8+73000.1+748.33+56618.78+20949.77</f>
        <v>155837.78</v>
      </c>
      <c r="H111" s="39"/>
    </row>
    <row r="112" spans="2:8" ht="15.75" customHeight="1" x14ac:dyDescent="0.25">
      <c r="B112" s="35" t="s">
        <v>141</v>
      </c>
      <c r="C112" s="4" t="s">
        <v>142</v>
      </c>
      <c r="D112" s="12"/>
      <c r="E112" s="13"/>
      <c r="F112" s="13"/>
      <c r="G112" s="13"/>
      <c r="H112" s="14"/>
    </row>
    <row r="113" spans="2:8" ht="15.75" customHeight="1" x14ac:dyDescent="0.25">
      <c r="B113" s="36"/>
      <c r="C113" s="8" t="s">
        <v>143</v>
      </c>
      <c r="D113" s="15" t="s">
        <v>65</v>
      </c>
      <c r="E113" s="16">
        <v>11000</v>
      </c>
      <c r="F113" s="16">
        <v>11000</v>
      </c>
      <c r="G113" s="16">
        <v>9515</v>
      </c>
      <c r="H113" s="17">
        <f t="shared" ref="H113" si="24">G113/F113</f>
        <v>0.86499999999999999</v>
      </c>
    </row>
    <row r="114" spans="2:8" ht="15.75" customHeight="1" x14ac:dyDescent="0.25">
      <c r="B114" s="35" t="s">
        <v>144</v>
      </c>
      <c r="C114" s="4" t="s">
        <v>145</v>
      </c>
      <c r="D114" s="12"/>
      <c r="E114" s="13"/>
      <c r="F114" s="13"/>
      <c r="G114" s="13"/>
      <c r="H114" s="14"/>
    </row>
    <row r="115" spans="2:8" ht="15.75" customHeight="1" x14ac:dyDescent="0.25">
      <c r="B115" s="36"/>
      <c r="C115" s="8" t="s">
        <v>146</v>
      </c>
      <c r="D115" s="15" t="s">
        <v>68</v>
      </c>
      <c r="E115" s="16">
        <v>1000</v>
      </c>
      <c r="F115" s="16">
        <v>1000</v>
      </c>
      <c r="G115" s="16">
        <v>0</v>
      </c>
      <c r="H115" s="17">
        <f t="shared" ref="H115" si="25">G115/F115</f>
        <v>0</v>
      </c>
    </row>
    <row r="116" spans="2:8" ht="15.75" customHeight="1" x14ac:dyDescent="0.25">
      <c r="B116" s="35" t="s">
        <v>147</v>
      </c>
      <c r="C116" s="4" t="s">
        <v>148</v>
      </c>
      <c r="D116" s="12"/>
      <c r="E116" s="13"/>
      <c r="F116" s="13"/>
      <c r="G116" s="13"/>
      <c r="H116" s="14"/>
    </row>
    <row r="117" spans="2:8" ht="15.75" customHeight="1" x14ac:dyDescent="0.25">
      <c r="B117" s="36"/>
      <c r="C117" s="8" t="s">
        <v>149</v>
      </c>
      <c r="D117" s="15" t="s">
        <v>68</v>
      </c>
      <c r="E117" s="16">
        <v>5000</v>
      </c>
      <c r="F117" s="16">
        <v>100</v>
      </c>
      <c r="G117" s="16">
        <v>0</v>
      </c>
      <c r="H117" s="17">
        <f t="shared" ref="H117" si="26">G117/F117</f>
        <v>0</v>
      </c>
    </row>
    <row r="118" spans="2:8" ht="15.75" customHeight="1" x14ac:dyDescent="0.25">
      <c r="B118" s="35" t="s">
        <v>150</v>
      </c>
      <c r="C118" s="4" t="s">
        <v>151</v>
      </c>
      <c r="D118" s="12"/>
      <c r="E118" s="13"/>
      <c r="F118" s="13"/>
      <c r="G118" s="13"/>
      <c r="H118" s="14"/>
    </row>
    <row r="119" spans="2:8" ht="15.75" customHeight="1" x14ac:dyDescent="0.25">
      <c r="B119" s="36"/>
      <c r="C119" s="8" t="s">
        <v>152</v>
      </c>
      <c r="D119" s="15" t="s">
        <v>65</v>
      </c>
      <c r="E119" s="16">
        <v>500</v>
      </c>
      <c r="F119" s="16">
        <v>500</v>
      </c>
      <c r="G119" s="16">
        <v>0</v>
      </c>
      <c r="H119" s="17">
        <f t="shared" ref="H119" si="27">G119/F119</f>
        <v>0</v>
      </c>
    </row>
    <row r="120" spans="2:8" ht="15.75" customHeight="1" x14ac:dyDescent="0.25">
      <c r="B120" s="35" t="s">
        <v>153</v>
      </c>
      <c r="C120" s="4" t="s">
        <v>154</v>
      </c>
      <c r="D120" s="12"/>
      <c r="E120" s="13"/>
      <c r="F120" s="13"/>
      <c r="G120" s="13"/>
      <c r="H120" s="14"/>
    </row>
    <row r="121" spans="2:8" ht="15.75" customHeight="1" x14ac:dyDescent="0.25">
      <c r="B121" s="36"/>
      <c r="C121" s="8" t="s">
        <v>155</v>
      </c>
      <c r="D121" s="15" t="s">
        <v>65</v>
      </c>
      <c r="E121" s="16">
        <v>5000</v>
      </c>
      <c r="F121" s="16">
        <v>11700</v>
      </c>
      <c r="G121" s="16">
        <v>10804</v>
      </c>
      <c r="H121" s="17">
        <f t="shared" ref="H121" si="28">G121/F121</f>
        <v>0.92341880341880345</v>
      </c>
    </row>
    <row r="122" spans="2:8" ht="15.75" customHeight="1" x14ac:dyDescent="0.25">
      <c r="B122" s="35" t="s">
        <v>46</v>
      </c>
      <c r="C122" s="4" t="s">
        <v>156</v>
      </c>
      <c r="D122" s="12"/>
      <c r="E122" s="13"/>
      <c r="F122" s="13"/>
      <c r="G122" s="13"/>
      <c r="H122" s="14"/>
    </row>
    <row r="123" spans="2:8" ht="15.75" customHeight="1" x14ac:dyDescent="0.25">
      <c r="B123" s="37"/>
      <c r="C123" s="8" t="s">
        <v>312</v>
      </c>
      <c r="D123" s="15" t="s">
        <v>17</v>
      </c>
      <c r="E123" s="32">
        <v>1094875</v>
      </c>
      <c r="F123" s="32">
        <f>1127875</f>
        <v>1127875</v>
      </c>
      <c r="G123" s="10">
        <v>1176</v>
      </c>
      <c r="H123" s="38">
        <f>SUM(G123:G126)/F123</f>
        <v>0.19443511027374485</v>
      </c>
    </row>
    <row r="124" spans="2:8" ht="15.75" customHeight="1" x14ac:dyDescent="0.25">
      <c r="B124" s="37"/>
      <c r="C124" s="8" t="s">
        <v>285</v>
      </c>
      <c r="D124" s="15" t="s">
        <v>286</v>
      </c>
      <c r="E124" s="33"/>
      <c r="F124" s="33"/>
      <c r="G124" s="10">
        <f>11109.38+58850.16+865.25+42639.9+41080.3</f>
        <v>154544.99</v>
      </c>
      <c r="H124" s="39"/>
    </row>
    <row r="125" spans="2:8" ht="31.5" x14ac:dyDescent="0.25">
      <c r="B125" s="37"/>
      <c r="C125" s="8" t="s">
        <v>370</v>
      </c>
      <c r="D125" s="15"/>
      <c r="E125" s="33"/>
      <c r="F125" s="33"/>
      <c r="G125" s="10">
        <f>60+6249.64+8813.72+32317.13</f>
        <v>47440.490000000005</v>
      </c>
      <c r="H125" s="39"/>
    </row>
    <row r="126" spans="2:8" ht="31.5" x14ac:dyDescent="0.25">
      <c r="B126" s="36"/>
      <c r="C126" s="8" t="s">
        <v>371</v>
      </c>
      <c r="D126" s="15"/>
      <c r="E126" s="34"/>
      <c r="F126" s="34"/>
      <c r="G126" s="10">
        <f>231.67+15905.35</f>
        <v>16137.02</v>
      </c>
      <c r="H126" s="40"/>
    </row>
    <row r="127" spans="2:8" ht="15.75" customHeight="1" x14ac:dyDescent="0.25">
      <c r="B127" s="35" t="s">
        <v>47</v>
      </c>
      <c r="C127" s="4" t="s">
        <v>157</v>
      </c>
      <c r="D127" s="12"/>
      <c r="E127" s="13"/>
      <c r="F127" s="13"/>
      <c r="G127" s="13"/>
      <c r="H127" s="14"/>
    </row>
    <row r="128" spans="2:8" ht="15.75" customHeight="1" x14ac:dyDescent="0.25">
      <c r="B128" s="36"/>
      <c r="C128" s="8" t="s">
        <v>158</v>
      </c>
      <c r="D128" s="15" t="s">
        <v>17</v>
      </c>
      <c r="E128" s="16">
        <v>30000</v>
      </c>
      <c r="F128" s="16">
        <v>103001</v>
      </c>
      <c r="G128" s="16">
        <v>0</v>
      </c>
      <c r="H128" s="17">
        <f t="shared" ref="H128" si="29">G128/F128</f>
        <v>0</v>
      </c>
    </row>
    <row r="129" spans="2:8" ht="15.75" customHeight="1" x14ac:dyDescent="0.25">
      <c r="B129" s="35" t="s">
        <v>159</v>
      </c>
      <c r="C129" s="4" t="s">
        <v>160</v>
      </c>
      <c r="D129" s="12"/>
      <c r="E129" s="13"/>
      <c r="F129" s="13"/>
      <c r="G129" s="13"/>
      <c r="H129" s="14"/>
    </row>
    <row r="130" spans="2:8" ht="15.75" customHeight="1" x14ac:dyDescent="0.25">
      <c r="B130" s="36"/>
      <c r="C130" s="8" t="s">
        <v>161</v>
      </c>
      <c r="D130" s="15" t="s">
        <v>68</v>
      </c>
      <c r="E130" s="16">
        <v>1000</v>
      </c>
      <c r="F130" s="16">
        <v>1</v>
      </c>
      <c r="G130" s="16">
        <v>0</v>
      </c>
      <c r="H130" s="17">
        <f t="shared" ref="H130" si="30">G130/F130</f>
        <v>0</v>
      </c>
    </row>
    <row r="131" spans="2:8" ht="15.75" customHeight="1" x14ac:dyDescent="0.25">
      <c r="B131" s="35" t="s">
        <v>48</v>
      </c>
      <c r="C131" s="4" t="s">
        <v>162</v>
      </c>
      <c r="D131" s="12"/>
      <c r="E131" s="13"/>
      <c r="F131" s="13"/>
      <c r="G131" s="13"/>
      <c r="H131" s="14"/>
    </row>
    <row r="132" spans="2:8" ht="15.75" customHeight="1" x14ac:dyDescent="0.25">
      <c r="B132" s="37"/>
      <c r="C132" s="8" t="s">
        <v>163</v>
      </c>
      <c r="D132" s="15" t="s">
        <v>17</v>
      </c>
      <c r="E132" s="33">
        <v>372750</v>
      </c>
      <c r="F132" s="33">
        <v>401748</v>
      </c>
      <c r="G132" s="16">
        <v>149965.53</v>
      </c>
      <c r="H132" s="38">
        <f>SUM(G132:G133)/F132</f>
        <v>0.71801828509413868</v>
      </c>
    </row>
    <row r="133" spans="2:8" ht="15.75" customHeight="1" x14ac:dyDescent="0.25">
      <c r="B133" s="36"/>
      <c r="C133" s="8" t="s">
        <v>164</v>
      </c>
      <c r="D133" s="15" t="s">
        <v>313</v>
      </c>
      <c r="E133" s="33"/>
      <c r="F133" s="33"/>
      <c r="G133" s="16">
        <f>60084.3+6038.73+797.24+744+70832.61</f>
        <v>138496.88</v>
      </c>
      <c r="H133" s="39"/>
    </row>
    <row r="134" spans="2:8" ht="15.75" customHeight="1" x14ac:dyDescent="0.25">
      <c r="B134" s="35" t="s">
        <v>49</v>
      </c>
      <c r="C134" s="4" t="s">
        <v>165</v>
      </c>
      <c r="D134" s="12"/>
      <c r="E134" s="13"/>
      <c r="F134" s="13"/>
      <c r="G134" s="13"/>
      <c r="H134" s="14"/>
    </row>
    <row r="135" spans="2:8" ht="15.75" customHeight="1" x14ac:dyDescent="0.25">
      <c r="B135" s="36"/>
      <c r="C135" s="8" t="s">
        <v>166</v>
      </c>
      <c r="D135" s="15" t="s">
        <v>68</v>
      </c>
      <c r="E135" s="16">
        <v>3000</v>
      </c>
      <c r="F135" s="16">
        <f>1800</f>
        <v>1800</v>
      </c>
      <c r="G135" s="16">
        <f>1268.04</f>
        <v>1268.04</v>
      </c>
      <c r="H135" s="17">
        <f t="shared" ref="H135" si="31">G135/F135</f>
        <v>0.70446666666666669</v>
      </c>
    </row>
    <row r="136" spans="2:8" ht="15.75" customHeight="1" x14ac:dyDescent="0.25">
      <c r="B136" s="35" t="s">
        <v>50</v>
      </c>
      <c r="C136" s="4" t="s">
        <v>167</v>
      </c>
      <c r="D136" s="12"/>
      <c r="E136" s="13"/>
      <c r="F136" s="13"/>
      <c r="G136" s="13"/>
      <c r="H136" s="14"/>
    </row>
    <row r="137" spans="2:8" ht="15.75" customHeight="1" x14ac:dyDescent="0.25">
      <c r="B137" s="36"/>
      <c r="C137" s="8" t="s">
        <v>168</v>
      </c>
      <c r="D137" s="15" t="s">
        <v>314</v>
      </c>
      <c r="E137" s="16">
        <v>15000</v>
      </c>
      <c r="F137" s="16">
        <v>15000</v>
      </c>
      <c r="G137" s="16">
        <v>0</v>
      </c>
      <c r="H137" s="17">
        <f t="shared" ref="H137" si="32">G137/F137</f>
        <v>0</v>
      </c>
    </row>
    <row r="138" spans="2:8" ht="15.75" customHeight="1" x14ac:dyDescent="0.25">
      <c r="B138" s="35" t="s">
        <v>51</v>
      </c>
      <c r="C138" s="4" t="s">
        <v>170</v>
      </c>
      <c r="D138" s="12"/>
      <c r="E138" s="13"/>
      <c r="F138" s="13"/>
      <c r="G138" s="13"/>
      <c r="H138" s="14"/>
    </row>
    <row r="139" spans="2:8" ht="15.75" customHeight="1" x14ac:dyDescent="0.25">
      <c r="B139" s="36"/>
      <c r="C139" s="8" t="s">
        <v>171</v>
      </c>
      <c r="D139" s="15" t="s">
        <v>68</v>
      </c>
      <c r="E139" s="16">
        <v>5500</v>
      </c>
      <c r="F139" s="16">
        <v>5500</v>
      </c>
      <c r="G139" s="16">
        <v>572</v>
      </c>
      <c r="H139" s="17">
        <f t="shared" ref="H139" si="33">G139/F139</f>
        <v>0.104</v>
      </c>
    </row>
    <row r="140" spans="2:8" ht="15.75" customHeight="1" x14ac:dyDescent="0.25">
      <c r="B140" s="35" t="s">
        <v>54</v>
      </c>
      <c r="C140" s="4" t="s">
        <v>172</v>
      </c>
      <c r="D140" s="12"/>
      <c r="E140" s="13"/>
      <c r="F140" s="13"/>
      <c r="G140" s="13"/>
      <c r="H140" s="14"/>
    </row>
    <row r="141" spans="2:8" ht="15.75" customHeight="1" x14ac:dyDescent="0.25">
      <c r="B141" s="36"/>
      <c r="C141" s="8" t="s">
        <v>173</v>
      </c>
      <c r="D141" s="15" t="s">
        <v>68</v>
      </c>
      <c r="E141" s="16">
        <v>5000</v>
      </c>
      <c r="F141" s="16">
        <v>5000</v>
      </c>
      <c r="G141" s="16">
        <v>0</v>
      </c>
      <c r="H141" s="17">
        <f t="shared" ref="H141" si="34">G141/F141</f>
        <v>0</v>
      </c>
    </row>
    <row r="142" spans="2:8" ht="15.75" customHeight="1" x14ac:dyDescent="0.25">
      <c r="B142" s="35" t="s">
        <v>174</v>
      </c>
      <c r="C142" s="4" t="s">
        <v>175</v>
      </c>
      <c r="D142" s="12"/>
      <c r="E142" s="13"/>
      <c r="F142" s="13"/>
      <c r="G142" s="13"/>
      <c r="H142" s="14"/>
    </row>
    <row r="143" spans="2:8" ht="15.75" customHeight="1" x14ac:dyDescent="0.25">
      <c r="B143" s="37"/>
      <c r="C143" s="8" t="s">
        <v>176</v>
      </c>
      <c r="D143" s="15" t="s">
        <v>17</v>
      </c>
      <c r="E143" s="33">
        <v>6500</v>
      </c>
      <c r="F143" s="33">
        <v>6500</v>
      </c>
      <c r="G143" s="16">
        <v>0</v>
      </c>
      <c r="H143" s="38">
        <f>SUM(G143:G144)/F143</f>
        <v>0</v>
      </c>
    </row>
    <row r="144" spans="2:8" ht="15.75" customHeight="1" x14ac:dyDescent="0.25">
      <c r="B144" s="36"/>
      <c r="C144" s="8" t="s">
        <v>177</v>
      </c>
      <c r="D144" s="15" t="s">
        <v>17</v>
      </c>
      <c r="E144" s="33"/>
      <c r="F144" s="33"/>
      <c r="G144" s="16">
        <v>0</v>
      </c>
      <c r="H144" s="39"/>
    </row>
    <row r="145" spans="2:8" ht="15.75" customHeight="1" x14ac:dyDescent="0.25">
      <c r="B145" s="35" t="s">
        <v>178</v>
      </c>
      <c r="C145" s="4" t="s">
        <v>179</v>
      </c>
      <c r="D145" s="12"/>
      <c r="E145" s="13"/>
      <c r="F145" s="13"/>
      <c r="G145" s="13"/>
      <c r="H145" s="14"/>
    </row>
    <row r="146" spans="2:8" ht="15.75" customHeight="1" x14ac:dyDescent="0.25">
      <c r="B146" s="36"/>
      <c r="C146" s="8" t="s">
        <v>180</v>
      </c>
      <c r="D146" s="15" t="s">
        <v>75</v>
      </c>
      <c r="E146" s="16">
        <v>12000</v>
      </c>
      <c r="F146" s="16">
        <v>82000</v>
      </c>
      <c r="G146" s="16">
        <f>34119.63</f>
        <v>34119.629999999997</v>
      </c>
      <c r="H146" s="17">
        <f t="shared" ref="H146" si="35">G146/F146</f>
        <v>0.41609304878048775</v>
      </c>
    </row>
    <row r="147" spans="2:8" ht="15.75" customHeight="1" x14ac:dyDescent="0.25">
      <c r="B147" s="35" t="s">
        <v>181</v>
      </c>
      <c r="C147" s="4" t="s">
        <v>182</v>
      </c>
      <c r="D147" s="12"/>
      <c r="E147" s="13"/>
      <c r="F147" s="13"/>
      <c r="G147" s="13"/>
      <c r="H147" s="14"/>
    </row>
    <row r="148" spans="2:8" ht="15.75" customHeight="1" x14ac:dyDescent="0.25">
      <c r="B148" s="36"/>
      <c r="C148" s="8" t="s">
        <v>183</v>
      </c>
      <c r="D148" s="15" t="s">
        <v>184</v>
      </c>
      <c r="E148" s="16">
        <v>31700</v>
      </c>
      <c r="F148" s="16">
        <v>76949.48</v>
      </c>
      <c r="G148" s="16">
        <v>15225.63</v>
      </c>
      <c r="H148" s="17">
        <f t="shared" ref="H148" si="36">G148/F148</f>
        <v>0.19786527472310403</v>
      </c>
    </row>
    <row r="149" spans="2:8" ht="15.75" customHeight="1" x14ac:dyDescent="0.25">
      <c r="B149" s="35" t="s">
        <v>185</v>
      </c>
      <c r="C149" s="4" t="s">
        <v>186</v>
      </c>
      <c r="D149" s="12"/>
      <c r="E149" s="13"/>
      <c r="F149" s="13"/>
      <c r="G149" s="13"/>
      <c r="H149" s="14"/>
    </row>
    <row r="150" spans="2:8" ht="15.75" customHeight="1" x14ac:dyDescent="0.25">
      <c r="B150" s="36"/>
      <c r="C150" s="8" t="s">
        <v>187</v>
      </c>
      <c r="D150" s="15" t="s">
        <v>65</v>
      </c>
      <c r="E150" s="16">
        <v>2000</v>
      </c>
      <c r="F150" s="16">
        <v>2000</v>
      </c>
      <c r="G150" s="16">
        <v>0</v>
      </c>
      <c r="H150" s="17">
        <f t="shared" ref="H150" si="37">G150/F150</f>
        <v>0</v>
      </c>
    </row>
    <row r="151" spans="2:8" ht="15.75" customHeight="1" x14ac:dyDescent="0.25">
      <c r="B151" s="35" t="s">
        <v>188</v>
      </c>
      <c r="C151" s="4" t="s">
        <v>189</v>
      </c>
      <c r="D151" s="12"/>
      <c r="E151" s="13"/>
      <c r="F151" s="13"/>
      <c r="G151" s="13"/>
      <c r="H151" s="14"/>
    </row>
    <row r="152" spans="2:8" ht="15.75" customHeight="1" x14ac:dyDescent="0.25">
      <c r="B152" s="36"/>
      <c r="C152" s="8" t="s">
        <v>190</v>
      </c>
      <c r="D152" s="15" t="s">
        <v>65</v>
      </c>
      <c r="E152" s="16">
        <v>3400</v>
      </c>
      <c r="F152" s="16">
        <v>10149.01</v>
      </c>
      <c r="G152" s="16">
        <v>0</v>
      </c>
      <c r="H152" s="17">
        <f t="shared" ref="H152" si="38">G152/F152</f>
        <v>0</v>
      </c>
    </row>
    <row r="153" spans="2:8" ht="15.75" customHeight="1" x14ac:dyDescent="0.25">
      <c r="B153" s="35" t="s">
        <v>191</v>
      </c>
      <c r="C153" s="4" t="s">
        <v>193</v>
      </c>
      <c r="D153" s="12"/>
      <c r="E153" s="13"/>
      <c r="F153" s="13"/>
      <c r="G153" s="13"/>
      <c r="H153" s="14"/>
    </row>
    <row r="154" spans="2:8" ht="15.75" customHeight="1" x14ac:dyDescent="0.25">
      <c r="B154" s="36"/>
      <c r="C154" s="8" t="s">
        <v>192</v>
      </c>
      <c r="D154" s="15" t="s">
        <v>65</v>
      </c>
      <c r="E154" s="16">
        <v>2000</v>
      </c>
      <c r="F154" s="16">
        <v>2000</v>
      </c>
      <c r="G154" s="16">
        <v>0</v>
      </c>
      <c r="H154" s="17">
        <f t="shared" ref="H154" si="39">G154/F154</f>
        <v>0</v>
      </c>
    </row>
    <row r="155" spans="2:8" ht="15.75" customHeight="1" x14ac:dyDescent="0.25">
      <c r="B155" s="35" t="s">
        <v>194</v>
      </c>
      <c r="C155" s="4" t="s">
        <v>195</v>
      </c>
      <c r="D155" s="12"/>
      <c r="E155" s="13"/>
      <c r="F155" s="13"/>
      <c r="G155" s="13"/>
      <c r="H155" s="14"/>
    </row>
    <row r="156" spans="2:8" ht="15.75" customHeight="1" x14ac:dyDescent="0.25">
      <c r="B156" s="36"/>
      <c r="C156" s="8" t="s">
        <v>196</v>
      </c>
      <c r="D156" s="15" t="s">
        <v>68</v>
      </c>
      <c r="E156" s="16">
        <v>4000</v>
      </c>
      <c r="F156" s="16">
        <v>39000</v>
      </c>
      <c r="G156" s="16">
        <f>28771</f>
        <v>28771</v>
      </c>
      <c r="H156" s="17">
        <v>0</v>
      </c>
    </row>
    <row r="157" spans="2:8" ht="15.75" customHeight="1" x14ac:dyDescent="0.25">
      <c r="B157" s="35" t="s">
        <v>197</v>
      </c>
      <c r="C157" s="4" t="s">
        <v>198</v>
      </c>
      <c r="D157" s="12"/>
      <c r="E157" s="13"/>
      <c r="F157" s="13"/>
      <c r="G157" s="13"/>
      <c r="H157" s="14"/>
    </row>
    <row r="158" spans="2:8" ht="15.75" customHeight="1" x14ac:dyDescent="0.25">
      <c r="B158" s="36"/>
      <c r="C158" s="8" t="s">
        <v>199</v>
      </c>
      <c r="D158" s="15" t="s">
        <v>65</v>
      </c>
      <c r="E158" s="16">
        <v>70000</v>
      </c>
      <c r="F158" s="16">
        <f>170000</f>
        <v>170000</v>
      </c>
      <c r="G158" s="16">
        <f>90085</f>
        <v>90085</v>
      </c>
      <c r="H158" s="17">
        <f t="shared" ref="H158" si="40">G158/F158</f>
        <v>0.5299117647058823</v>
      </c>
    </row>
    <row r="159" spans="2:8" ht="15.75" customHeight="1" x14ac:dyDescent="0.25">
      <c r="B159" s="35" t="s">
        <v>200</v>
      </c>
      <c r="C159" s="4" t="s">
        <v>201</v>
      </c>
      <c r="D159" s="12"/>
      <c r="E159" s="13"/>
      <c r="F159" s="13"/>
      <c r="G159" s="13"/>
      <c r="H159" s="14"/>
    </row>
    <row r="160" spans="2:8" ht="15.75" customHeight="1" x14ac:dyDescent="0.25">
      <c r="B160" s="36"/>
      <c r="C160" s="8" t="s">
        <v>202</v>
      </c>
      <c r="D160" s="15" t="s">
        <v>42</v>
      </c>
      <c r="E160" s="16">
        <v>10000</v>
      </c>
      <c r="F160" s="16">
        <v>4000</v>
      </c>
      <c r="G160" s="16">
        <v>1075.4000000000001</v>
      </c>
      <c r="H160" s="17">
        <f t="shared" ref="H160:H162" si="41">G160/F160</f>
        <v>0.26885000000000003</v>
      </c>
    </row>
    <row r="161" spans="2:8" ht="15.75" customHeight="1" x14ac:dyDescent="0.25">
      <c r="B161" s="35" t="s">
        <v>203</v>
      </c>
      <c r="C161" s="4" t="s">
        <v>204</v>
      </c>
      <c r="D161" s="12"/>
      <c r="E161" s="13"/>
      <c r="F161" s="13"/>
      <c r="G161" s="13"/>
      <c r="H161" s="14"/>
    </row>
    <row r="162" spans="2:8" ht="15.75" customHeight="1" x14ac:dyDescent="0.25">
      <c r="B162" s="37"/>
      <c r="C162" s="8" t="s">
        <v>288</v>
      </c>
      <c r="D162" s="15" t="s">
        <v>17</v>
      </c>
      <c r="E162" s="27">
        <v>19900</v>
      </c>
      <c r="F162" s="27">
        <v>25900</v>
      </c>
      <c r="G162" s="16">
        <f>14944.03</f>
        <v>14944.03</v>
      </c>
      <c r="H162" s="17">
        <f t="shared" si="41"/>
        <v>0.57698957528957528</v>
      </c>
    </row>
    <row r="163" spans="2:8" ht="15.75" customHeight="1" x14ac:dyDescent="0.25">
      <c r="B163" s="35" t="s">
        <v>205</v>
      </c>
      <c r="C163" s="4" t="s">
        <v>206</v>
      </c>
      <c r="D163" s="12"/>
      <c r="E163" s="13"/>
      <c r="F163" s="13"/>
      <c r="G163" s="13"/>
      <c r="H163" s="14"/>
    </row>
    <row r="164" spans="2:8" ht="15.75" customHeight="1" x14ac:dyDescent="0.25">
      <c r="B164" s="36"/>
      <c r="C164" s="8" t="s">
        <v>207</v>
      </c>
      <c r="D164" s="15" t="s">
        <v>208</v>
      </c>
      <c r="E164" s="16">
        <v>5000</v>
      </c>
      <c r="F164" s="16">
        <v>15000</v>
      </c>
      <c r="G164" s="16">
        <f>1350</f>
        <v>1350</v>
      </c>
      <c r="H164" s="17">
        <f t="shared" ref="H164" si="42">G164/F164</f>
        <v>0.09</v>
      </c>
    </row>
    <row r="165" spans="2:8" ht="15.75" customHeight="1" x14ac:dyDescent="0.25">
      <c r="B165" s="35" t="s">
        <v>209</v>
      </c>
      <c r="C165" s="4" t="s">
        <v>210</v>
      </c>
      <c r="D165" s="12"/>
      <c r="E165" s="13"/>
      <c r="F165" s="13"/>
      <c r="G165" s="13"/>
      <c r="H165" s="14"/>
    </row>
    <row r="166" spans="2:8" ht="15.75" customHeight="1" x14ac:dyDescent="0.25">
      <c r="B166" s="36"/>
      <c r="C166" s="8" t="s">
        <v>38</v>
      </c>
      <c r="D166" s="15" t="s">
        <v>39</v>
      </c>
      <c r="E166" s="16">
        <v>5000</v>
      </c>
      <c r="F166" s="16">
        <v>600</v>
      </c>
      <c r="G166" s="16">
        <v>0</v>
      </c>
      <c r="H166" s="17">
        <f t="shared" ref="H166" si="43">G166/F166</f>
        <v>0</v>
      </c>
    </row>
    <row r="167" spans="2:8" ht="15.75" customHeight="1" x14ac:dyDescent="0.25">
      <c r="B167" s="35" t="s">
        <v>211</v>
      </c>
      <c r="C167" s="4" t="s">
        <v>212</v>
      </c>
      <c r="D167" s="12"/>
      <c r="E167" s="13"/>
      <c r="F167" s="13"/>
      <c r="G167" s="13"/>
      <c r="H167" s="14"/>
    </row>
    <row r="168" spans="2:8" ht="15.75" customHeight="1" x14ac:dyDescent="0.25">
      <c r="B168" s="36"/>
      <c r="C168" s="8" t="s">
        <v>41</v>
      </c>
      <c r="D168" s="15" t="s">
        <v>42</v>
      </c>
      <c r="E168" s="16">
        <v>7000</v>
      </c>
      <c r="F168" s="16">
        <v>2500</v>
      </c>
      <c r="G168" s="16">
        <v>0</v>
      </c>
      <c r="H168" s="17">
        <f t="shared" ref="H168" si="44">G168/F168</f>
        <v>0</v>
      </c>
    </row>
    <row r="169" spans="2:8" ht="15.75" customHeight="1" x14ac:dyDescent="0.25">
      <c r="B169" s="35" t="s">
        <v>213</v>
      </c>
      <c r="C169" s="4" t="s">
        <v>214</v>
      </c>
      <c r="D169" s="12"/>
      <c r="E169" s="13"/>
      <c r="F169" s="13"/>
      <c r="G169" s="13"/>
      <c r="H169" s="14"/>
    </row>
    <row r="170" spans="2:8" ht="15.75" customHeight="1" x14ac:dyDescent="0.25">
      <c r="B170" s="36"/>
      <c r="C170" s="8" t="s">
        <v>315</v>
      </c>
      <c r="D170" s="15" t="s">
        <v>316</v>
      </c>
      <c r="E170" s="16">
        <v>33000</v>
      </c>
      <c r="F170" s="16">
        <v>274500</v>
      </c>
      <c r="G170" s="16">
        <f>31020.33</f>
        <v>31020.33</v>
      </c>
      <c r="H170" s="17">
        <f t="shared" ref="H170" si="45">G170/F170</f>
        <v>0.11300666666666667</v>
      </c>
    </row>
    <row r="171" spans="2:8" ht="15.75" customHeight="1" x14ac:dyDescent="0.25">
      <c r="B171" s="35" t="s">
        <v>215</v>
      </c>
      <c r="C171" s="4" t="s">
        <v>216</v>
      </c>
      <c r="D171" s="12"/>
      <c r="E171" s="13"/>
      <c r="F171" s="13"/>
      <c r="G171" s="13"/>
      <c r="H171" s="14"/>
    </row>
    <row r="172" spans="2:8" ht="15.75" customHeight="1" x14ac:dyDescent="0.25">
      <c r="B172" s="36"/>
      <c r="C172" s="8" t="s">
        <v>44</v>
      </c>
      <c r="D172" s="15" t="s">
        <v>39</v>
      </c>
      <c r="E172" s="16">
        <v>5000</v>
      </c>
      <c r="F172" s="16">
        <v>3000</v>
      </c>
      <c r="G172" s="16">
        <v>0</v>
      </c>
      <c r="H172" s="17">
        <f t="shared" ref="H172" si="46">G172/F172</f>
        <v>0</v>
      </c>
    </row>
    <row r="173" spans="2:8" ht="15.75" customHeight="1" x14ac:dyDescent="0.25">
      <c r="B173" s="35" t="s">
        <v>217</v>
      </c>
      <c r="C173" s="4" t="s">
        <v>218</v>
      </c>
      <c r="D173" s="12"/>
      <c r="E173" s="13"/>
      <c r="F173" s="13"/>
      <c r="G173" s="13"/>
      <c r="H173" s="14"/>
    </row>
    <row r="174" spans="2:8" ht="15.75" customHeight="1" x14ac:dyDescent="0.25">
      <c r="B174" s="36"/>
      <c r="C174" s="8" t="s">
        <v>317</v>
      </c>
      <c r="D174" s="15" t="s">
        <v>17</v>
      </c>
      <c r="E174" s="16">
        <v>10000</v>
      </c>
      <c r="F174" s="16">
        <v>2</v>
      </c>
      <c r="G174" s="16">
        <v>0</v>
      </c>
      <c r="H174" s="17">
        <f t="shared" ref="H174" si="47">G174/F174</f>
        <v>0</v>
      </c>
    </row>
    <row r="175" spans="2:8" ht="15.75" customHeight="1" x14ac:dyDescent="0.25">
      <c r="B175" s="35" t="s">
        <v>219</v>
      </c>
      <c r="C175" s="4" t="s">
        <v>220</v>
      </c>
      <c r="D175" s="12"/>
      <c r="E175" s="13"/>
      <c r="F175" s="13"/>
      <c r="G175" s="13"/>
      <c r="H175" s="14"/>
    </row>
    <row r="176" spans="2:8" ht="15.75" customHeight="1" x14ac:dyDescent="0.25">
      <c r="B176" s="36"/>
      <c r="C176" s="8" t="s">
        <v>221</v>
      </c>
      <c r="D176" s="15" t="s">
        <v>208</v>
      </c>
      <c r="E176" s="16">
        <v>6000</v>
      </c>
      <c r="F176" s="16">
        <v>3</v>
      </c>
      <c r="G176" s="16">
        <v>0</v>
      </c>
      <c r="H176" s="17">
        <f t="shared" ref="H176" si="48">G176/F176</f>
        <v>0</v>
      </c>
    </row>
    <row r="177" spans="2:8" ht="15.75" customHeight="1" x14ac:dyDescent="0.25">
      <c r="B177" s="35" t="s">
        <v>223</v>
      </c>
      <c r="C177" s="4" t="s">
        <v>222</v>
      </c>
      <c r="D177" s="12"/>
      <c r="E177" s="13"/>
      <c r="F177" s="13"/>
      <c r="G177" s="13"/>
      <c r="H177" s="14"/>
    </row>
    <row r="178" spans="2:8" ht="15.75" customHeight="1" x14ac:dyDescent="0.25">
      <c r="B178" s="37"/>
      <c r="C178" s="8" t="s">
        <v>318</v>
      </c>
      <c r="D178" s="15" t="s">
        <v>33</v>
      </c>
      <c r="E178" s="32">
        <v>243000</v>
      </c>
      <c r="F178" s="32">
        <f>813898</f>
        <v>813898</v>
      </c>
      <c r="G178" s="16">
        <v>205000</v>
      </c>
      <c r="H178" s="38">
        <f>SUM(G178:G179)/F178</f>
        <v>0.2682400005897545</v>
      </c>
    </row>
    <row r="179" spans="2:8" ht="15.75" customHeight="1" x14ac:dyDescent="0.25">
      <c r="B179" s="36"/>
      <c r="C179" s="8" t="s">
        <v>319</v>
      </c>
      <c r="D179" s="15" t="s">
        <v>68</v>
      </c>
      <c r="E179" s="34"/>
      <c r="F179" s="34"/>
      <c r="G179" s="16">
        <v>13320</v>
      </c>
      <c r="H179" s="39"/>
    </row>
    <row r="180" spans="2:8" ht="15.75" customHeight="1" x14ac:dyDescent="0.25">
      <c r="B180" s="35" t="s">
        <v>224</v>
      </c>
      <c r="C180" s="4" t="s">
        <v>225</v>
      </c>
      <c r="D180" s="12"/>
      <c r="E180" s="13"/>
      <c r="F180" s="13"/>
      <c r="G180" s="13"/>
      <c r="H180" s="14"/>
    </row>
    <row r="181" spans="2:8" ht="15.75" customHeight="1" x14ac:dyDescent="0.25">
      <c r="B181" s="36"/>
      <c r="C181" s="8" t="s">
        <v>289</v>
      </c>
      <c r="D181" s="25" t="s">
        <v>226</v>
      </c>
      <c r="E181" s="32">
        <v>349500</v>
      </c>
      <c r="F181" s="32">
        <v>951500</v>
      </c>
      <c r="G181" s="16"/>
      <c r="H181" s="38">
        <f>SUM(G181:G182)/F181</f>
        <v>0.3031401996847084</v>
      </c>
    </row>
    <row r="182" spans="2:8" ht="15.75" customHeight="1" x14ac:dyDescent="0.25">
      <c r="B182" s="30"/>
      <c r="C182" s="8" t="s">
        <v>372</v>
      </c>
      <c r="D182" s="25" t="s">
        <v>373</v>
      </c>
      <c r="E182" s="34"/>
      <c r="F182" s="34"/>
      <c r="G182" s="16">
        <f>288437.9</f>
        <v>288437.90000000002</v>
      </c>
      <c r="H182" s="40"/>
    </row>
    <row r="183" spans="2:8" ht="15.75" customHeight="1" x14ac:dyDescent="0.25">
      <c r="B183" s="35" t="s">
        <v>227</v>
      </c>
      <c r="C183" s="4" t="s">
        <v>228</v>
      </c>
      <c r="D183" s="12"/>
      <c r="E183" s="13"/>
      <c r="F183" s="13"/>
      <c r="G183" s="13"/>
      <c r="H183" s="14"/>
    </row>
    <row r="184" spans="2:8" ht="15.75" customHeight="1" x14ac:dyDescent="0.25">
      <c r="B184" s="36"/>
      <c r="C184" s="8" t="s">
        <v>229</v>
      </c>
      <c r="D184" s="15" t="s">
        <v>68</v>
      </c>
      <c r="E184" s="16">
        <v>6000</v>
      </c>
      <c r="F184" s="16">
        <v>5539</v>
      </c>
      <c r="G184" s="16">
        <v>0</v>
      </c>
      <c r="H184" s="17">
        <f t="shared" ref="H184" si="49">G184/F184</f>
        <v>0</v>
      </c>
    </row>
    <row r="185" spans="2:8" ht="15.75" customHeight="1" x14ac:dyDescent="0.25">
      <c r="B185" s="35" t="s">
        <v>230</v>
      </c>
      <c r="C185" s="4" t="s">
        <v>231</v>
      </c>
      <c r="D185" s="12"/>
      <c r="E185" s="13"/>
      <c r="F185" s="13"/>
      <c r="G185" s="13"/>
      <c r="H185" s="14"/>
    </row>
    <row r="186" spans="2:8" ht="15.75" customHeight="1" x14ac:dyDescent="0.25">
      <c r="B186" s="37"/>
      <c r="C186" s="8" t="s">
        <v>320</v>
      </c>
      <c r="D186" s="15" t="s">
        <v>17</v>
      </c>
      <c r="E186" s="26">
        <v>569500</v>
      </c>
      <c r="F186" s="26">
        <v>569500</v>
      </c>
      <c r="G186" s="16">
        <v>0</v>
      </c>
      <c r="H186" s="28">
        <f>SUM(G186:G186)/F186</f>
        <v>0</v>
      </c>
    </row>
    <row r="187" spans="2:8" ht="15.75" customHeight="1" x14ac:dyDescent="0.25">
      <c r="B187" s="35" t="s">
        <v>232</v>
      </c>
      <c r="C187" s="4" t="s">
        <v>233</v>
      </c>
      <c r="D187" s="12"/>
      <c r="E187" s="13"/>
      <c r="F187" s="13"/>
      <c r="G187" s="13"/>
      <c r="H187" s="14"/>
    </row>
    <row r="188" spans="2:8" ht="15.75" customHeight="1" x14ac:dyDescent="0.25">
      <c r="B188" s="37"/>
      <c r="C188" s="8" t="s">
        <v>321</v>
      </c>
      <c r="D188" s="15" t="s">
        <v>322</v>
      </c>
      <c r="E188" s="32">
        <v>210000</v>
      </c>
      <c r="F188" s="32">
        <f>719437.82</f>
        <v>719437.82</v>
      </c>
      <c r="G188" s="16">
        <f>158500+165000</f>
        <v>323500</v>
      </c>
      <c r="H188" s="38">
        <f>SUM(G188:G190)/F188</f>
        <v>0.6243528870917574</v>
      </c>
    </row>
    <row r="189" spans="2:8" ht="15.75" customHeight="1" x14ac:dyDescent="0.25">
      <c r="B189" s="37"/>
      <c r="C189" s="8" t="s">
        <v>323</v>
      </c>
      <c r="D189" s="15" t="s">
        <v>324</v>
      </c>
      <c r="E189" s="33"/>
      <c r="F189" s="33"/>
      <c r="G189" s="16">
        <v>89800</v>
      </c>
      <c r="H189" s="39"/>
    </row>
    <row r="190" spans="2:8" ht="15.75" customHeight="1" x14ac:dyDescent="0.25">
      <c r="B190" s="36"/>
      <c r="C190" s="8" t="s">
        <v>234</v>
      </c>
      <c r="D190" s="15" t="s">
        <v>325</v>
      </c>
      <c r="E190" s="34"/>
      <c r="F190" s="34"/>
      <c r="G190" s="16">
        <f>3220.08+2188+400+780+29295</f>
        <v>35883.08</v>
      </c>
      <c r="H190" s="40"/>
    </row>
    <row r="191" spans="2:8" ht="15.75" customHeight="1" x14ac:dyDescent="0.25">
      <c r="B191" s="35" t="s">
        <v>235</v>
      </c>
      <c r="C191" s="4" t="s">
        <v>236</v>
      </c>
      <c r="D191" s="12"/>
      <c r="E191" s="13"/>
      <c r="F191" s="13"/>
      <c r="G191" s="13"/>
      <c r="H191" s="14"/>
    </row>
    <row r="192" spans="2:8" ht="15.75" customHeight="1" x14ac:dyDescent="0.25">
      <c r="B192" s="36"/>
      <c r="C192" s="8" t="s">
        <v>237</v>
      </c>
      <c r="D192" s="15" t="s">
        <v>208</v>
      </c>
      <c r="E192" s="16">
        <v>313100</v>
      </c>
      <c r="F192" s="16">
        <f>539688.82</f>
        <v>539688.81999999995</v>
      </c>
      <c r="G192" s="16">
        <f>371769.99</f>
        <v>371769.99</v>
      </c>
      <c r="H192" s="17">
        <f t="shared" ref="H192" si="50">G192/F192</f>
        <v>0.68885990634380756</v>
      </c>
    </row>
    <row r="193" spans="2:8" ht="15.75" customHeight="1" x14ac:dyDescent="0.25">
      <c r="B193" s="35" t="s">
        <v>238</v>
      </c>
      <c r="C193" s="4" t="s">
        <v>239</v>
      </c>
      <c r="D193" s="12"/>
      <c r="E193" s="13"/>
      <c r="F193" s="13"/>
      <c r="G193" s="13"/>
      <c r="H193" s="14"/>
    </row>
    <row r="194" spans="2:8" ht="15.75" customHeight="1" x14ac:dyDescent="0.25">
      <c r="B194" s="36"/>
      <c r="C194" s="8" t="s">
        <v>240</v>
      </c>
      <c r="D194" s="15" t="s">
        <v>314</v>
      </c>
      <c r="E194" s="16">
        <v>18500</v>
      </c>
      <c r="F194" s="16">
        <v>1540</v>
      </c>
      <c r="G194" s="16">
        <v>0</v>
      </c>
      <c r="H194" s="17">
        <f t="shared" ref="H194" si="51">G194/F194</f>
        <v>0</v>
      </c>
    </row>
    <row r="195" spans="2:8" ht="15.75" customHeight="1" x14ac:dyDescent="0.25">
      <c r="B195" s="35" t="s">
        <v>242</v>
      </c>
      <c r="C195" s="4" t="s">
        <v>243</v>
      </c>
      <c r="D195" s="12"/>
      <c r="E195" s="13"/>
      <c r="F195" s="13"/>
      <c r="G195" s="13"/>
      <c r="H195" s="14"/>
    </row>
    <row r="196" spans="2:8" ht="15.75" customHeight="1" x14ac:dyDescent="0.25">
      <c r="B196" s="36"/>
      <c r="C196" s="8" t="s">
        <v>244</v>
      </c>
      <c r="D196" s="15" t="s">
        <v>75</v>
      </c>
      <c r="E196" s="16">
        <v>37500</v>
      </c>
      <c r="F196" s="16">
        <v>37500</v>
      </c>
      <c r="G196" s="16">
        <v>4365</v>
      </c>
      <c r="H196" s="17">
        <f t="shared" ref="H196" si="52">G196/F196</f>
        <v>0.1164</v>
      </c>
    </row>
    <row r="197" spans="2:8" ht="15.75" customHeight="1" x14ac:dyDescent="0.25">
      <c r="B197" s="35" t="s">
        <v>245</v>
      </c>
      <c r="C197" s="4" t="s">
        <v>246</v>
      </c>
      <c r="D197" s="12"/>
      <c r="E197" s="13"/>
      <c r="F197" s="13"/>
      <c r="G197" s="13"/>
      <c r="H197" s="14"/>
    </row>
    <row r="198" spans="2:8" ht="15.75" customHeight="1" x14ac:dyDescent="0.25">
      <c r="B198" s="36"/>
      <c r="C198" s="8" t="s">
        <v>247</v>
      </c>
      <c r="D198" s="15" t="s">
        <v>61</v>
      </c>
      <c r="E198" s="16">
        <v>15200</v>
      </c>
      <c r="F198" s="16">
        <v>15200</v>
      </c>
      <c r="G198" s="16">
        <v>0</v>
      </c>
      <c r="H198" s="17">
        <f t="shared" ref="H198" si="53">G198/F198</f>
        <v>0</v>
      </c>
    </row>
    <row r="199" spans="2:8" ht="15.75" customHeight="1" x14ac:dyDescent="0.25">
      <c r="B199" s="35" t="s">
        <v>248</v>
      </c>
      <c r="C199" s="4" t="s">
        <v>249</v>
      </c>
      <c r="D199" s="12"/>
      <c r="E199" s="13"/>
      <c r="F199" s="13"/>
      <c r="G199" s="13"/>
      <c r="H199" s="14"/>
    </row>
    <row r="200" spans="2:8" ht="15.75" customHeight="1" x14ac:dyDescent="0.25">
      <c r="B200" s="36"/>
      <c r="C200" s="8" t="s">
        <v>250</v>
      </c>
      <c r="D200" s="15" t="s">
        <v>169</v>
      </c>
      <c r="E200" s="16">
        <v>5000</v>
      </c>
      <c r="F200" s="16">
        <v>5000</v>
      </c>
      <c r="G200" s="16">
        <v>0</v>
      </c>
      <c r="H200" s="17">
        <f t="shared" ref="H200" si="54">G200/F200</f>
        <v>0</v>
      </c>
    </row>
    <row r="201" spans="2:8" ht="15.75" customHeight="1" x14ac:dyDescent="0.25">
      <c r="B201" s="35" t="s">
        <v>251</v>
      </c>
      <c r="C201" s="4" t="s">
        <v>252</v>
      </c>
      <c r="D201" s="12"/>
      <c r="E201" s="13"/>
      <c r="F201" s="13"/>
      <c r="G201" s="13"/>
      <c r="H201" s="14"/>
    </row>
    <row r="202" spans="2:8" ht="15.75" customHeight="1" x14ac:dyDescent="0.25">
      <c r="B202" s="36"/>
      <c r="C202" s="8" t="s">
        <v>253</v>
      </c>
      <c r="D202" s="15" t="s">
        <v>326</v>
      </c>
      <c r="E202" s="16">
        <v>30000</v>
      </c>
      <c r="F202" s="16">
        <v>30000</v>
      </c>
      <c r="G202" s="16">
        <v>0</v>
      </c>
      <c r="H202" s="17">
        <f t="shared" ref="H202" si="55">G202/F202</f>
        <v>0</v>
      </c>
    </row>
    <row r="203" spans="2:8" ht="15.75" customHeight="1" x14ac:dyDescent="0.25">
      <c r="B203" s="35" t="s">
        <v>254</v>
      </c>
      <c r="C203" s="4" t="s">
        <v>255</v>
      </c>
      <c r="D203" s="12"/>
      <c r="E203" s="13"/>
      <c r="F203" s="13"/>
      <c r="G203" s="13"/>
      <c r="H203" s="14"/>
    </row>
    <row r="204" spans="2:8" ht="15.75" customHeight="1" x14ac:dyDescent="0.25">
      <c r="B204" s="36"/>
      <c r="C204" s="8" t="s">
        <v>256</v>
      </c>
      <c r="D204" s="15" t="s">
        <v>327</v>
      </c>
      <c r="E204" s="16">
        <v>2000</v>
      </c>
      <c r="F204" s="16">
        <v>8800</v>
      </c>
      <c r="G204" s="16">
        <v>7300</v>
      </c>
      <c r="H204" s="17">
        <f t="shared" ref="H204" si="56">G204/F204</f>
        <v>0.82954545454545459</v>
      </c>
    </row>
    <row r="205" spans="2:8" ht="15.75" customHeight="1" x14ac:dyDescent="0.25">
      <c r="B205" s="35" t="s">
        <v>257</v>
      </c>
      <c r="C205" s="4" t="s">
        <v>258</v>
      </c>
      <c r="D205" s="12"/>
      <c r="E205" s="13"/>
      <c r="F205" s="13"/>
      <c r="G205" s="13"/>
      <c r="H205" s="14"/>
    </row>
    <row r="206" spans="2:8" ht="15.75" customHeight="1" x14ac:dyDescent="0.25">
      <c r="B206" s="36"/>
      <c r="C206" s="8" t="s">
        <v>259</v>
      </c>
      <c r="D206" s="15" t="s">
        <v>73</v>
      </c>
      <c r="E206" s="16">
        <v>8000</v>
      </c>
      <c r="F206" s="16">
        <v>4</v>
      </c>
      <c r="G206" s="16">
        <v>0</v>
      </c>
      <c r="H206" s="17">
        <v>0</v>
      </c>
    </row>
    <row r="207" spans="2:8" ht="15.75" customHeight="1" x14ac:dyDescent="0.25">
      <c r="B207" s="35" t="s">
        <v>260</v>
      </c>
      <c r="C207" s="4" t="s">
        <v>261</v>
      </c>
      <c r="D207" s="12"/>
      <c r="E207" s="13"/>
      <c r="F207" s="13"/>
      <c r="G207" s="13"/>
      <c r="H207" s="14"/>
    </row>
    <row r="208" spans="2:8" ht="15.75" customHeight="1" x14ac:dyDescent="0.25">
      <c r="B208" s="36"/>
      <c r="C208" s="8" t="s">
        <v>262</v>
      </c>
      <c r="D208" s="15" t="s">
        <v>75</v>
      </c>
      <c r="E208" s="16">
        <v>5000</v>
      </c>
      <c r="F208" s="16">
        <v>71000</v>
      </c>
      <c r="G208" s="16">
        <f>59020</f>
        <v>59020</v>
      </c>
      <c r="H208" s="17">
        <f t="shared" ref="H208" si="57">G208/F208</f>
        <v>0.83126760563380286</v>
      </c>
    </row>
    <row r="209" spans="2:8" ht="15.75" customHeight="1" x14ac:dyDescent="0.25">
      <c r="B209" s="35" t="s">
        <v>263</v>
      </c>
      <c r="C209" s="4" t="s">
        <v>264</v>
      </c>
      <c r="D209" s="12"/>
      <c r="E209" s="13"/>
      <c r="F209" s="13"/>
      <c r="G209" s="13"/>
      <c r="H209" s="14"/>
    </row>
    <row r="210" spans="2:8" ht="15.75" customHeight="1" x14ac:dyDescent="0.25">
      <c r="B210" s="36"/>
      <c r="C210" s="8" t="s">
        <v>265</v>
      </c>
      <c r="D210" s="15" t="s">
        <v>208</v>
      </c>
      <c r="E210" s="16">
        <v>7000</v>
      </c>
      <c r="F210" s="16">
        <v>9050</v>
      </c>
      <c r="G210" s="16">
        <v>179.9</v>
      </c>
      <c r="H210" s="17">
        <f t="shared" ref="H210" si="58">G210/F210</f>
        <v>1.9878453038674034E-2</v>
      </c>
    </row>
    <row r="211" spans="2:8" ht="15.75" customHeight="1" x14ac:dyDescent="0.25">
      <c r="B211" s="35" t="s">
        <v>266</v>
      </c>
      <c r="C211" s="4" t="s">
        <v>267</v>
      </c>
      <c r="D211" s="12"/>
      <c r="E211" s="13"/>
      <c r="F211" s="13"/>
      <c r="G211" s="13"/>
      <c r="H211" s="14"/>
    </row>
    <row r="212" spans="2:8" ht="15.75" customHeight="1" x14ac:dyDescent="0.25">
      <c r="B212" s="36"/>
      <c r="C212" s="8" t="s">
        <v>52</v>
      </c>
      <c r="D212" s="15" t="s">
        <v>53</v>
      </c>
      <c r="E212" s="16">
        <v>120000</v>
      </c>
      <c r="F212" s="16">
        <f>712865</f>
        <v>712865</v>
      </c>
      <c r="G212" s="16">
        <v>620944.80000000005</v>
      </c>
      <c r="H212" s="17">
        <f t="shared" ref="H212" si="59">G212/F212</f>
        <v>0.87105524889004238</v>
      </c>
    </row>
    <row r="213" spans="2:8" ht="15.75" customHeight="1" x14ac:dyDescent="0.25">
      <c r="B213" s="35" t="s">
        <v>268</v>
      </c>
      <c r="C213" s="4" t="s">
        <v>269</v>
      </c>
      <c r="D213" s="12"/>
      <c r="E213" s="13"/>
      <c r="F213" s="13"/>
      <c r="G213" s="13"/>
      <c r="H213" s="14"/>
    </row>
    <row r="214" spans="2:8" ht="15.75" customHeight="1" x14ac:dyDescent="0.25">
      <c r="B214" s="36"/>
      <c r="C214" s="8" t="s">
        <v>270</v>
      </c>
      <c r="D214" s="15" t="s">
        <v>208</v>
      </c>
      <c r="E214" s="16">
        <v>5600</v>
      </c>
      <c r="F214" s="16">
        <v>4700</v>
      </c>
      <c r="G214" s="16">
        <v>955</v>
      </c>
      <c r="H214" s="17">
        <f t="shared" ref="H214" si="60">G214/F214</f>
        <v>0.20319148936170212</v>
      </c>
    </row>
    <row r="215" spans="2:8" ht="15.75" customHeight="1" x14ac:dyDescent="0.25">
      <c r="B215" s="35" t="s">
        <v>271</v>
      </c>
      <c r="C215" s="4" t="s">
        <v>272</v>
      </c>
      <c r="D215" s="12"/>
      <c r="E215" s="13"/>
      <c r="F215" s="13"/>
      <c r="G215" s="13"/>
      <c r="H215" s="14"/>
    </row>
    <row r="216" spans="2:8" ht="15.75" customHeight="1" x14ac:dyDescent="0.25">
      <c r="B216" s="36"/>
      <c r="C216" s="8" t="s">
        <v>273</v>
      </c>
      <c r="D216" s="15" t="s">
        <v>314</v>
      </c>
      <c r="E216" s="16">
        <v>10000</v>
      </c>
      <c r="F216" s="16">
        <v>10000</v>
      </c>
      <c r="G216" s="16">
        <v>3697</v>
      </c>
      <c r="H216" s="17">
        <f t="shared" ref="H216:H218" si="61">G216/F216</f>
        <v>0.36969999999999997</v>
      </c>
    </row>
    <row r="217" spans="2:8" ht="15.75" customHeight="1" x14ac:dyDescent="0.25">
      <c r="B217" s="35" t="s">
        <v>275</v>
      </c>
      <c r="C217" s="4" t="s">
        <v>274</v>
      </c>
      <c r="D217" s="12"/>
      <c r="E217" s="13"/>
      <c r="F217" s="13"/>
      <c r="G217" s="13"/>
      <c r="H217" s="14"/>
    </row>
    <row r="218" spans="2:8" ht="15.75" customHeight="1" x14ac:dyDescent="0.25">
      <c r="B218" s="37"/>
      <c r="C218" s="8" t="s">
        <v>290</v>
      </c>
      <c r="D218" s="15" t="s">
        <v>73</v>
      </c>
      <c r="E218" s="27">
        <v>856875</v>
      </c>
      <c r="F218" s="27">
        <f>856875</f>
        <v>856875</v>
      </c>
      <c r="G218" s="16">
        <f>100053.54</f>
        <v>100053.54</v>
      </c>
      <c r="H218" s="17">
        <f t="shared" si="61"/>
        <v>0.1167656192560175</v>
      </c>
    </row>
    <row r="219" spans="2:8" ht="15.75" customHeight="1" x14ac:dyDescent="0.25">
      <c r="B219" s="35" t="s">
        <v>276</v>
      </c>
      <c r="C219" s="4" t="s">
        <v>277</v>
      </c>
      <c r="D219" s="12"/>
      <c r="E219" s="13"/>
      <c r="F219" s="13"/>
      <c r="G219" s="13"/>
      <c r="H219" s="14"/>
    </row>
    <row r="220" spans="2:8" ht="15.75" customHeight="1" x14ac:dyDescent="0.25">
      <c r="B220" s="36"/>
      <c r="C220" s="8" t="s">
        <v>278</v>
      </c>
      <c r="D220" s="15" t="s">
        <v>68</v>
      </c>
      <c r="E220" s="16">
        <v>903000</v>
      </c>
      <c r="F220" s="16">
        <v>1855000</v>
      </c>
      <c r="G220" s="16">
        <f>1854700</f>
        <v>1854700</v>
      </c>
      <c r="H220" s="17">
        <f t="shared" ref="H220" si="62">G220/F220</f>
        <v>0.99983827493261457</v>
      </c>
    </row>
    <row r="221" spans="2:8" ht="15.75" customHeight="1" x14ac:dyDescent="0.25">
      <c r="B221" s="35" t="s">
        <v>279</v>
      </c>
      <c r="C221" s="4" t="s">
        <v>280</v>
      </c>
      <c r="D221" s="12"/>
      <c r="E221" s="13"/>
      <c r="F221" s="13"/>
      <c r="G221" s="13"/>
      <c r="H221" s="14"/>
    </row>
    <row r="222" spans="2:8" ht="15.75" customHeight="1" x14ac:dyDescent="0.25">
      <c r="B222" s="36"/>
      <c r="C222" s="8" t="s">
        <v>281</v>
      </c>
      <c r="D222" s="15" t="s">
        <v>282</v>
      </c>
      <c r="E222" s="16">
        <v>10000</v>
      </c>
      <c r="F222" s="16">
        <v>10000</v>
      </c>
      <c r="G222" s="16">
        <v>0</v>
      </c>
      <c r="H222" s="17">
        <f t="shared" ref="H222:H224" si="63">G222/F222</f>
        <v>0</v>
      </c>
    </row>
    <row r="223" spans="2:8" ht="15.75" customHeight="1" x14ac:dyDescent="0.25">
      <c r="B223" s="35" t="s">
        <v>328</v>
      </c>
      <c r="C223" s="4" t="s">
        <v>329</v>
      </c>
      <c r="D223" s="12"/>
      <c r="E223" s="13"/>
      <c r="F223" s="13"/>
      <c r="G223" s="13"/>
      <c r="H223" s="14"/>
    </row>
    <row r="224" spans="2:8" ht="15.75" customHeight="1" x14ac:dyDescent="0.25">
      <c r="B224" s="36"/>
      <c r="C224" s="8" t="s">
        <v>330</v>
      </c>
      <c r="D224" s="15" t="s">
        <v>61</v>
      </c>
      <c r="E224" s="16">
        <v>3200</v>
      </c>
      <c r="F224" s="16">
        <v>28200</v>
      </c>
      <c r="G224" s="16">
        <v>0</v>
      </c>
      <c r="H224" s="17">
        <f t="shared" si="63"/>
        <v>0</v>
      </c>
    </row>
    <row r="225" spans="2:8" ht="15.75" customHeight="1" x14ac:dyDescent="0.25">
      <c r="B225" s="35" t="s">
        <v>331</v>
      </c>
      <c r="C225" s="4" t="s">
        <v>332</v>
      </c>
      <c r="D225" s="12"/>
      <c r="E225" s="13"/>
      <c r="F225" s="13"/>
      <c r="G225" s="13"/>
      <c r="H225" s="14"/>
    </row>
    <row r="226" spans="2:8" ht="15.75" customHeight="1" x14ac:dyDescent="0.25">
      <c r="B226" s="36"/>
      <c r="C226" s="8" t="s">
        <v>333</v>
      </c>
      <c r="D226" s="15" t="s">
        <v>61</v>
      </c>
      <c r="E226" s="16">
        <v>3000</v>
      </c>
      <c r="F226" s="16">
        <v>8280</v>
      </c>
      <c r="G226" s="16">
        <v>7766.05</v>
      </c>
      <c r="H226" s="17">
        <f t="shared" ref="H226" si="64">G226/F226</f>
        <v>0.93792874396135273</v>
      </c>
    </row>
    <row r="227" spans="2:8" ht="15.75" customHeight="1" x14ac:dyDescent="0.25">
      <c r="B227" s="35" t="s">
        <v>334</v>
      </c>
      <c r="C227" s="4" t="s">
        <v>335</v>
      </c>
      <c r="D227" s="12"/>
      <c r="E227" s="13"/>
      <c r="F227" s="13"/>
      <c r="G227" s="13"/>
      <c r="H227" s="14"/>
    </row>
    <row r="228" spans="2:8" ht="15.75" customHeight="1" x14ac:dyDescent="0.25">
      <c r="B228" s="36"/>
      <c r="C228" s="8" t="s">
        <v>343</v>
      </c>
      <c r="D228" s="15" t="s">
        <v>61</v>
      </c>
      <c r="E228" s="16">
        <v>3000</v>
      </c>
      <c r="F228" s="16">
        <v>4650</v>
      </c>
      <c r="G228" s="16">
        <f>4184.42</f>
        <v>4184.42</v>
      </c>
      <c r="H228" s="17">
        <f t="shared" ref="H228" si="65">G228/F228</f>
        <v>0.89987526881720437</v>
      </c>
    </row>
    <row r="229" spans="2:8" ht="15.75" customHeight="1" x14ac:dyDescent="0.25">
      <c r="B229" s="35" t="s">
        <v>336</v>
      </c>
      <c r="C229" s="4" t="s">
        <v>337</v>
      </c>
      <c r="D229" s="12"/>
      <c r="E229" s="13"/>
      <c r="F229" s="13"/>
      <c r="G229" s="13"/>
      <c r="H229" s="14"/>
    </row>
    <row r="230" spans="2:8" ht="15.75" customHeight="1" x14ac:dyDescent="0.25">
      <c r="B230" s="36"/>
      <c r="C230" s="8" t="s">
        <v>339</v>
      </c>
      <c r="D230" s="15" t="s">
        <v>338</v>
      </c>
      <c r="E230" s="16">
        <v>130000</v>
      </c>
      <c r="F230" s="16">
        <f>190000</f>
        <v>190000</v>
      </c>
      <c r="G230" s="16">
        <f>41004.04</f>
        <v>41004.04</v>
      </c>
      <c r="H230" s="17">
        <f t="shared" ref="H230" si="66">G230/F230</f>
        <v>0.21581073684210528</v>
      </c>
    </row>
    <row r="231" spans="2:8" ht="15.75" customHeight="1" x14ac:dyDescent="0.25">
      <c r="B231" s="35" t="s">
        <v>340</v>
      </c>
      <c r="C231" s="4" t="s">
        <v>341</v>
      </c>
      <c r="D231" s="12"/>
      <c r="E231" s="13"/>
      <c r="F231" s="13"/>
      <c r="G231" s="13"/>
      <c r="H231" s="14"/>
    </row>
    <row r="232" spans="2:8" ht="15.75" customHeight="1" x14ac:dyDescent="0.25">
      <c r="B232" s="36"/>
      <c r="C232" s="8" t="s">
        <v>342</v>
      </c>
      <c r="D232" s="15" t="s">
        <v>326</v>
      </c>
      <c r="E232" s="16">
        <v>50000</v>
      </c>
      <c r="F232" s="16">
        <v>144400</v>
      </c>
      <c r="G232" s="16">
        <v>0</v>
      </c>
      <c r="H232" s="17">
        <f t="shared" ref="H232" si="67">G232/F232</f>
        <v>0</v>
      </c>
    </row>
    <row r="233" spans="2:8" ht="16.5" thickBot="1" x14ac:dyDescent="0.3">
      <c r="B233" s="41" t="s">
        <v>55</v>
      </c>
      <c r="C233" s="42"/>
      <c r="D233" s="20" t="s">
        <v>17</v>
      </c>
      <c r="E233" s="18">
        <f>SUM(E12:E232)</f>
        <v>13858350</v>
      </c>
      <c r="F233" s="18">
        <f>SUM(F12:F232)</f>
        <v>34390676.670000002</v>
      </c>
      <c r="G233" s="18">
        <f>SUM(G12:G232)</f>
        <v>11560997.380000003</v>
      </c>
      <c r="H233" s="19">
        <f>G233/F233</f>
        <v>0.3361666154735769</v>
      </c>
    </row>
  </sheetData>
  <mergeCells count="139">
    <mergeCell ref="H132:H133"/>
    <mergeCell ref="B66:B78"/>
    <mergeCell ref="B54:B56"/>
    <mergeCell ref="B91:B94"/>
    <mergeCell ref="E67:E78"/>
    <mergeCell ref="F67:F78"/>
    <mergeCell ref="H67:H78"/>
    <mergeCell ref="H92:H94"/>
    <mergeCell ref="B161:B162"/>
    <mergeCell ref="B217:B218"/>
    <mergeCell ref="H110:H111"/>
    <mergeCell ref="B109:B111"/>
    <mergeCell ref="E110:E111"/>
    <mergeCell ref="F110:F111"/>
    <mergeCell ref="B142:B144"/>
    <mergeCell ref="E143:E144"/>
    <mergeCell ref="F143:F144"/>
    <mergeCell ref="B163:B164"/>
    <mergeCell ref="B165:B166"/>
    <mergeCell ref="H143:H144"/>
    <mergeCell ref="B127:B128"/>
    <mergeCell ref="B129:B130"/>
    <mergeCell ref="B131:B133"/>
    <mergeCell ref="E132:E133"/>
    <mergeCell ref="F132:F133"/>
    <mergeCell ref="B2:H2"/>
    <mergeCell ref="B3:H3"/>
    <mergeCell ref="B4:H4"/>
    <mergeCell ref="B5:H5"/>
    <mergeCell ref="B7:H7"/>
    <mergeCell ref="G9:G11"/>
    <mergeCell ref="H9:H11"/>
    <mergeCell ref="B12:B13"/>
    <mergeCell ref="B14:B15"/>
    <mergeCell ref="B9:B11"/>
    <mergeCell ref="C9:C11"/>
    <mergeCell ref="D9:D11"/>
    <mergeCell ref="E9:E11"/>
    <mergeCell ref="F9:F11"/>
    <mergeCell ref="B233:C233"/>
    <mergeCell ref="B99:B100"/>
    <mergeCell ref="B101:B102"/>
    <mergeCell ref="B103:B104"/>
    <mergeCell ref="B105:B106"/>
    <mergeCell ref="B107:B108"/>
    <mergeCell ref="B112:B113"/>
    <mergeCell ref="B114:B115"/>
    <mergeCell ref="B116:B117"/>
    <mergeCell ref="B118:B119"/>
    <mergeCell ref="B120:B121"/>
    <mergeCell ref="B134:B135"/>
    <mergeCell ref="B136:B137"/>
    <mergeCell ref="B138:B139"/>
    <mergeCell ref="B140:B141"/>
    <mergeCell ref="B159:B160"/>
    <mergeCell ref="H123:H126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57:B58"/>
    <mergeCell ref="B59:B60"/>
    <mergeCell ref="B61:B62"/>
    <mergeCell ref="B97:B98"/>
    <mergeCell ref="B95:B96"/>
    <mergeCell ref="B87:B88"/>
    <mergeCell ref="B89:B90"/>
    <mergeCell ref="B79:B80"/>
    <mergeCell ref="B81:B82"/>
    <mergeCell ref="B83:B84"/>
    <mergeCell ref="B85:B86"/>
    <mergeCell ref="B36:B53"/>
    <mergeCell ref="H178:H179"/>
    <mergeCell ref="B177:B179"/>
    <mergeCell ref="B180:B181"/>
    <mergeCell ref="B183:B184"/>
    <mergeCell ref="B185:B186"/>
    <mergeCell ref="H181:H182"/>
    <mergeCell ref="B167:B168"/>
    <mergeCell ref="B169:B170"/>
    <mergeCell ref="B171:B172"/>
    <mergeCell ref="B173:B174"/>
    <mergeCell ref="B175:B176"/>
    <mergeCell ref="E178:E179"/>
    <mergeCell ref="E55:E56"/>
    <mergeCell ref="F55:F56"/>
    <mergeCell ref="H55:H56"/>
    <mergeCell ref="B63:B65"/>
    <mergeCell ref="E64:E65"/>
    <mergeCell ref="F64:F65"/>
    <mergeCell ref="H64:H65"/>
    <mergeCell ref="E37:E53"/>
    <mergeCell ref="F37:F53"/>
    <mergeCell ref="H37:H53"/>
    <mergeCell ref="B229:B230"/>
    <mergeCell ref="B231:B232"/>
    <mergeCell ref="B187:B190"/>
    <mergeCell ref="E188:E190"/>
    <mergeCell ref="F188:F190"/>
    <mergeCell ref="H188:H190"/>
    <mergeCell ref="B225:B226"/>
    <mergeCell ref="B227:B228"/>
    <mergeCell ref="B223:B224"/>
    <mergeCell ref="B213:B214"/>
    <mergeCell ref="B215:B216"/>
    <mergeCell ref="B191:B192"/>
    <mergeCell ref="B193:B194"/>
    <mergeCell ref="B195:B196"/>
    <mergeCell ref="B197:B198"/>
    <mergeCell ref="E92:E94"/>
    <mergeCell ref="F92:F94"/>
    <mergeCell ref="B219:B220"/>
    <mergeCell ref="B221:B222"/>
    <mergeCell ref="B199:B200"/>
    <mergeCell ref="B201:B202"/>
    <mergeCell ref="B203:B204"/>
    <mergeCell ref="B205:B206"/>
    <mergeCell ref="B207:B208"/>
    <mergeCell ref="B209:B210"/>
    <mergeCell ref="B211:B212"/>
    <mergeCell ref="B122:B126"/>
    <mergeCell ref="E123:E126"/>
    <mergeCell ref="F123:F126"/>
    <mergeCell ref="E181:E182"/>
    <mergeCell ref="F181:F182"/>
    <mergeCell ref="F178:F179"/>
    <mergeCell ref="B145:B146"/>
    <mergeCell ref="B147:B148"/>
    <mergeCell ref="B149:B150"/>
    <mergeCell ref="B151:B152"/>
    <mergeCell ref="B153:B154"/>
    <mergeCell ref="B155:B156"/>
    <mergeCell ref="B157:B158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Augusto César Sartori</cp:lastModifiedBy>
  <cp:lastPrinted>2019-05-22T14:23:19Z</cp:lastPrinted>
  <dcterms:created xsi:type="dcterms:W3CDTF">2017-10-07T11:56:08Z</dcterms:created>
  <dcterms:modified xsi:type="dcterms:W3CDTF">2019-09-24T12:59:03Z</dcterms:modified>
</cp:coreProperties>
</file>